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pca.state.mn.us\sdrive\Public\Muessig_Philipp.PM\Web docs postesd\"/>
    </mc:Choice>
  </mc:AlternateContent>
  <bookViews>
    <workbookView xWindow="0" yWindow="0" windowWidth="28800" windowHeight="11400"/>
  </bookViews>
  <sheets>
    <sheet name="Context" sheetId="1" r:id="rId1"/>
    <sheet name="Calculators" sheetId="5" r:id="rId2"/>
    <sheet name="Sheet2" sheetId="2" r:id="rId3"/>
    <sheet name="Sheet3" sheetId="3" r:id="rId4"/>
    <sheet name="Sheet4" sheetId="4" r:id="rId5"/>
  </sheets>
  <definedNames>
    <definedName name="_xlnm.Print_Area" localSheetId="1">Calculators!$A$1:$G$75</definedName>
    <definedName name="_xlnm.Print_Area" localSheetId="0">Context!$A$1:$C$24</definedName>
    <definedName name="_xlnm.Print_Titles" localSheetId="1">Calculators!$1:$1</definedName>
    <definedName name="_xlnm.Print_Titles" localSheetId="0">Context!$1:$2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62" i="5" l="1"/>
  <c r="G16" i="5" l="1"/>
  <c r="G15" i="5"/>
  <c r="G14" i="5"/>
  <c r="G13" i="5"/>
  <c r="G12" i="5"/>
  <c r="G37" i="5" l="1"/>
  <c r="F37" i="5"/>
  <c r="G42" i="5" l="1"/>
  <c r="F42" i="5"/>
  <c r="F30" i="5"/>
  <c r="G27" i="5"/>
  <c r="F27" i="5"/>
  <c r="G22" i="5"/>
  <c r="G20" i="5"/>
  <c r="F23" i="5"/>
  <c r="F80" i="5" l="1"/>
  <c r="F83" i="5" s="1"/>
  <c r="G80" i="5"/>
  <c r="F81" i="5"/>
  <c r="G81" i="5"/>
  <c r="G23" i="5"/>
  <c r="G30" i="5"/>
  <c r="G35" i="5" s="1"/>
  <c r="F35" i="5"/>
  <c r="F43" i="5"/>
  <c r="G34" i="5"/>
  <c r="B22" i="5"/>
  <c r="F84" i="5" l="1"/>
  <c r="F85" i="5" s="1"/>
  <c r="G83" i="5"/>
  <c r="F60" i="5"/>
  <c r="G84" i="5"/>
  <c r="F59" i="5"/>
  <c r="G36" i="5"/>
  <c r="G60" i="5" s="1"/>
  <c r="F36" i="5"/>
  <c r="G59" i="5" s="1"/>
  <c r="G43" i="5"/>
  <c r="B14" i="5"/>
  <c r="B13" i="5"/>
  <c r="C7" i="5"/>
  <c r="C6" i="5"/>
  <c r="C47" i="5"/>
  <c r="C39" i="5"/>
  <c r="B39" i="5"/>
  <c r="C37" i="5"/>
  <c r="C38" i="5" s="1"/>
  <c r="B37" i="5"/>
  <c r="B38" i="5" s="1"/>
  <c r="C26" i="5"/>
  <c r="B26" i="5"/>
  <c r="B24" i="5"/>
  <c r="B32" i="5"/>
  <c r="C16" i="5"/>
  <c r="C30" i="5"/>
  <c r="B30" i="5"/>
  <c r="C22" i="5"/>
  <c r="B20" i="5"/>
  <c r="C13" i="5"/>
  <c r="C49" i="5" s="1"/>
  <c r="C12" i="5"/>
  <c r="C11" i="5"/>
  <c r="B8" i="5"/>
  <c r="G85" i="5" l="1"/>
  <c r="G61" i="5" s="1"/>
  <c r="F61" i="5"/>
  <c r="B9" i="5"/>
  <c r="B15" i="5" s="1"/>
  <c r="C41" i="5"/>
  <c r="B25" i="5"/>
  <c r="B27" i="5" s="1"/>
  <c r="B80" i="5" s="1"/>
  <c r="B21" i="5"/>
  <c r="C21" i="5" s="1"/>
  <c r="C14" i="5"/>
  <c r="B33" i="5" s="1"/>
  <c r="C33" i="5" s="1"/>
  <c r="C8" i="5"/>
  <c r="B31" i="5"/>
  <c r="C31" i="5"/>
  <c r="B40" i="5"/>
  <c r="C40" i="5"/>
  <c r="B34" i="5"/>
  <c r="C34" i="5" s="1"/>
  <c r="C20" i="5"/>
  <c r="C32" i="5"/>
  <c r="C24" i="5"/>
  <c r="B41" i="5"/>
  <c r="C9" i="5" l="1"/>
  <c r="C61" i="5"/>
  <c r="C65" i="5" s="1"/>
  <c r="C42" i="5"/>
  <c r="C81" i="5" s="1"/>
  <c r="B23" i="5"/>
  <c r="B83" i="5" s="1"/>
  <c r="C48" i="5"/>
  <c r="B42" i="5"/>
  <c r="B81" i="5" s="1"/>
  <c r="C25" i="5"/>
  <c r="C27" i="5" s="1"/>
  <c r="C80" i="5" s="1"/>
  <c r="B35" i="5"/>
  <c r="C35" i="5"/>
  <c r="C62" i="5" l="1"/>
  <c r="C64" i="5"/>
  <c r="C66" i="5"/>
  <c r="C67" i="5"/>
  <c r="C63" i="5"/>
  <c r="C68" i="5"/>
  <c r="C69" i="5"/>
  <c r="C15" i="5"/>
  <c r="C50" i="5"/>
  <c r="C51" i="5" s="1"/>
  <c r="B57" i="5" s="1"/>
  <c r="B36" i="5"/>
  <c r="C54" i="5" s="1"/>
  <c r="C23" i="5"/>
  <c r="C83" i="5" s="1"/>
  <c r="B54" i="5"/>
  <c r="C43" i="5"/>
  <c r="B43" i="5"/>
  <c r="B84" i="5"/>
  <c r="B85" i="5" s="1"/>
  <c r="C84" i="5"/>
  <c r="B56" i="5" l="1"/>
  <c r="B55" i="5"/>
  <c r="C36" i="5"/>
  <c r="C55" i="5" s="1"/>
  <c r="C85" i="5"/>
  <c r="C56" i="5" l="1"/>
</calcChain>
</file>

<file path=xl/sharedStrings.xml><?xml version="1.0" encoding="utf-8"?>
<sst xmlns="http://schemas.openxmlformats.org/spreadsheetml/2006/main" count="182" uniqueCount="142">
  <si>
    <t>Average height (ft.)</t>
  </si>
  <si>
    <t>Treatment rate</t>
  </si>
  <si>
    <t>Total DBH of trees to be removed</t>
  </si>
  <si>
    <t>Treatment costs</t>
  </si>
  <si>
    <t>Treatment costs per total DBH</t>
  </si>
  <si>
    <t>New tree costs</t>
  </si>
  <si>
    <t>Removal costs</t>
  </si>
  <si>
    <t>Removal costs per DBH</t>
  </si>
  <si>
    <t>Base Case trees</t>
  </si>
  <si>
    <t>Base Case debris (US tons)</t>
  </si>
  <si>
    <t xml:space="preserve">Reduced peak period debris </t>
  </si>
  <si>
    <t>Base Case costs</t>
  </si>
  <si>
    <t>Total dry weight (US tons)</t>
  </si>
  <si>
    <t>Notes:</t>
  </si>
  <si>
    <t>Carbon monoxide (CO)</t>
  </si>
  <si>
    <t>Biogenic greenhouse gases (GHG)</t>
  </si>
  <si>
    <r>
      <t xml:space="preserve">Cost-Benefit Model </t>
    </r>
    <r>
      <rPr>
        <b/>
        <vertAlign val="superscript"/>
        <sz val="12"/>
        <color theme="0"/>
        <rFont val="Times New Roman"/>
        <family val="1"/>
      </rPr>
      <t>1</t>
    </r>
  </si>
  <si>
    <t>Amount</t>
  </si>
  <si>
    <t>Removal cost per DBH</t>
  </si>
  <si>
    <t>New tree cost installed (2.5 DBH)</t>
  </si>
  <si>
    <t>Replacement rate for removed trees</t>
  </si>
  <si>
    <t>every 3 years</t>
  </si>
  <si>
    <t>every 5 years</t>
  </si>
  <si>
    <t>(3) The figure lists the number of cars that would emit an equivalent amount of GHG emissions in a year. A typical passenger vehicle emits about 4.6 metric tonnes of carbon dioxide per year (4.17 US tons). Source: EPA, https://www.epa.gov/greenvehicles/greenhouse-gas-emissions-typical-passenger-vehicle</t>
  </si>
  <si>
    <t>(4) The Minnesota Pollution Control Agency estimated the amount of wood burned in a typical campfire (32.5 lbs.). The above figures show the number of typical campfires that would emit criteria pollutants equal to those from the number of trees burned.</t>
  </si>
  <si>
    <r>
      <t xml:space="preserve">Open Burning Emissions (emission in pounds) </t>
    </r>
    <r>
      <rPr>
        <b/>
        <vertAlign val="superscript"/>
        <sz val="12"/>
        <color theme="0"/>
        <rFont val="Times New Roman"/>
        <family val="1"/>
      </rPr>
      <t>2</t>
    </r>
  </si>
  <si>
    <t>Volatile organic compounds (VOC)</t>
  </si>
  <si>
    <t>Average green weight per tree (lbs.)</t>
  </si>
  <si>
    <r>
      <t>Sulphur dioxide (SO</t>
    </r>
    <r>
      <rPr>
        <vertAlign val="subscript"/>
        <sz val="10"/>
        <color theme="1"/>
        <rFont val="Times New Roman"/>
        <family val="1"/>
      </rPr>
      <t>2</t>
    </r>
    <r>
      <rPr>
        <sz val="10"/>
        <color theme="1"/>
        <rFont val="Times New Roman"/>
        <family val="1"/>
      </rPr>
      <t>)</t>
    </r>
  </si>
  <si>
    <r>
      <t>Nitrogen oxides (NO</t>
    </r>
    <r>
      <rPr>
        <vertAlign val="subscript"/>
        <sz val="10"/>
        <color theme="1"/>
        <rFont val="Times New Roman"/>
        <family val="1"/>
      </rPr>
      <t>x</t>
    </r>
    <r>
      <rPr>
        <sz val="10"/>
        <color theme="1"/>
        <rFont val="Times New Roman"/>
        <family val="1"/>
      </rPr>
      <t>)</t>
    </r>
  </si>
  <si>
    <t>X</t>
  </si>
  <si>
    <t>Y</t>
  </si>
  <si>
    <t>Year 10</t>
  </si>
  <si>
    <t>Year 20</t>
  </si>
  <si>
    <t>Cumulative tree value</t>
  </si>
  <si>
    <t>Base Case</t>
  </si>
  <si>
    <t>Tree value per dollar of cost</t>
  </si>
  <si>
    <t>Every dollar invested in the ATP Plans preserves about X times as much tree value compared to the Base Case:</t>
  </si>
  <si>
    <t>Cost-Benefit Takeaways</t>
  </si>
  <si>
    <t>Years 1-10</t>
  </si>
  <si>
    <t>Years 1-20</t>
  </si>
  <si>
    <t>Emerald Ash Borer Cost-Benefit &amp; Emission Calculator</t>
  </si>
  <si>
    <t>Scenarios</t>
  </si>
  <si>
    <r>
      <t>Average DBH (</t>
    </r>
    <r>
      <rPr>
        <i/>
        <sz val="10"/>
        <rFont val="Times New Roman"/>
        <family val="1"/>
      </rPr>
      <t>diameter at breast height</t>
    </r>
    <r>
      <rPr>
        <sz val="10"/>
        <rFont val="Times New Roman"/>
        <family val="1"/>
      </rPr>
      <t xml:space="preserve"> in inches) of all trees</t>
    </r>
  </si>
  <si>
    <t>Total city-owned ash trees:</t>
  </si>
  <si>
    <t>Peak period percentage of unprotected trees</t>
  </si>
  <si>
    <t>Total DBH of protected trees</t>
  </si>
  <si>
    <t>Ash Tree Inventory Data (input city data into purple cells)</t>
  </si>
  <si>
    <t>Protection Plan</t>
  </si>
  <si>
    <t>Green weight of trees to be removed trees (US tons)</t>
  </si>
  <si>
    <t>Protection Plan costs</t>
  </si>
  <si>
    <t>Protection Plan cost savings over Base Case</t>
  </si>
  <si>
    <t>Protection Plan debris (US tons)</t>
  </si>
  <si>
    <t>Protection Plan (protect high-quality trees, remove &amp; replace low-quality trees)</t>
  </si>
  <si>
    <t>Number of trees to be openly burned (input city amount)</t>
  </si>
  <si>
    <r>
      <rPr>
        <b/>
        <sz val="9"/>
        <color theme="1"/>
        <rFont val="Times New Roman"/>
        <family val="1"/>
      </rPr>
      <t xml:space="preserve">Tree value per dollar invested: </t>
    </r>
    <r>
      <rPr>
        <sz val="9"/>
        <color theme="1"/>
        <rFont val="Times New Roman"/>
        <family val="1"/>
      </rPr>
      <t>Compared to the Base Case, every dollar invested in the Protection Plan preserves about X times as much cumulative tree value by Year 10 and Y times by Year 20.</t>
    </r>
  </si>
  <si>
    <r>
      <rPr>
        <b/>
        <sz val="9"/>
        <color theme="1"/>
        <rFont val="Times New Roman"/>
        <family val="1"/>
      </rPr>
      <t xml:space="preserve">Peak period advantages: </t>
    </r>
    <r>
      <rPr>
        <sz val="9"/>
        <color theme="1"/>
        <rFont val="Times New Roman"/>
        <family val="1"/>
      </rPr>
      <t>The Protection Plan cuts costs and reduces the severe liabilities and removal costs especially during the peak years of the infestation (Years 4-8). Compared to the Base Case, the Protection Plan reduces peak-period costs and debris removal by X%.</t>
    </r>
  </si>
  <si>
    <r>
      <rPr>
        <b/>
        <sz val="9"/>
        <color theme="1"/>
        <rFont val="Times New Roman"/>
        <family val="1"/>
      </rPr>
      <t xml:space="preserve">Cost savings, Year 1-10: </t>
    </r>
    <r>
      <rPr>
        <sz val="9"/>
        <color theme="1"/>
        <rFont val="Times New Roman"/>
        <family val="1"/>
      </rPr>
      <t>Compared to the Base Case, the Protection Plan reduces costs by $X by Year 10, a Y% savings.</t>
    </r>
  </si>
  <si>
    <r>
      <rPr>
        <b/>
        <sz val="9"/>
        <color theme="1"/>
        <rFont val="Times New Roman"/>
        <family val="1"/>
      </rPr>
      <t xml:space="preserve">Cost savings, Year 1-20: </t>
    </r>
    <r>
      <rPr>
        <sz val="9"/>
        <color theme="1"/>
        <rFont val="Times New Roman"/>
        <family val="1"/>
      </rPr>
      <t>Compared to the Base Case, the Protection Plan reduces costs by $X by Year 20, a Y% savings.</t>
    </r>
  </si>
  <si>
    <r>
      <t>Fine particulate matter (PM</t>
    </r>
    <r>
      <rPr>
        <vertAlign val="subscript"/>
        <sz val="10"/>
        <color theme="1"/>
        <rFont val="Times New Roman"/>
        <family val="1"/>
      </rPr>
      <t>2.5</t>
    </r>
    <r>
      <rPr>
        <sz val="10"/>
        <color theme="1"/>
        <rFont val="Times New Roman"/>
        <family val="1"/>
      </rPr>
      <t xml:space="preserve">) </t>
    </r>
  </si>
  <si>
    <r>
      <t xml:space="preserve">Trees to be removed </t>
    </r>
    <r>
      <rPr>
        <vertAlign val="superscript"/>
        <sz val="10"/>
        <color theme="1"/>
        <rFont val="Times New Roman"/>
        <family val="1"/>
      </rPr>
      <t>1</t>
    </r>
  </si>
  <si>
    <t>Protection Plan cumulative tree value</t>
  </si>
  <si>
    <t>Protection Plan increase in cumulative tree value over Base Case</t>
  </si>
  <si>
    <t>Removal cost per total DBH</t>
  </si>
  <si>
    <t>New tree costs per tree (purchase, installation, mortality, extra maintenance costs)</t>
  </si>
  <si>
    <t xml:space="preserve">New tree costs </t>
  </si>
  <si>
    <r>
      <t xml:space="preserve">Base Case cumulative tree value </t>
    </r>
    <r>
      <rPr>
        <b/>
        <vertAlign val="superscript"/>
        <sz val="10"/>
        <color theme="1"/>
        <rFont val="Times New Roman"/>
        <family val="1"/>
      </rPr>
      <t>1</t>
    </r>
  </si>
  <si>
    <r>
      <rPr>
        <b/>
        <sz val="10"/>
        <color theme="1"/>
        <rFont val="Times New Roman"/>
        <family val="1"/>
      </rPr>
      <t xml:space="preserve">Herd immunity: </t>
    </r>
    <r>
      <rPr>
        <sz val="10"/>
        <color theme="1"/>
        <rFont val="Times New Roman"/>
        <family val="1"/>
      </rPr>
      <t>To fight a human epidemic, a critical percentage of the population needs to be inoculated—not everyone. Similarly, with the EAB infestation, scientists have concluded there is a “herd immunity” effect with a critical percentage of treatments. Cities can help preserve their urban forest, both public and private trees, by inoculating as many high-quality city trees as possible.</t>
    </r>
  </si>
  <si>
    <t>"We recognize the increasing and well-warranted concerns regarding the overreliance on pesticides. Neonicotinoids and their effects on pollinators, such as bees, and soil-applied products that have the potential to reach stormwater or ground water have all been highly publicized. The pesticide recommended herein, emamectin benzoate (EB), is not a neonicotinoid and is injected into the trunks of the trees. Ash trees are wind pollinated, they are not a substantial nectar source for bees, and they flower early in the growing season and only for a limited number of days. According to a study by Purdue University, “It is highly unlikely that bees would be exposed to systemic insecticides applied to ash.”  EB has a low toxicity rating for mammals, a low bioaccumulation potential within ecosystems, and is immobile in soil. This means that the insecticide will not build up levels within an ecosystem and will be minimally harmful to people and animals that might encounter tree debris.</t>
  </si>
  <si>
    <t xml:space="preserve">"While there are valid concerns regarding the overuse of pesticides in our environment, those concerns should be aimed at reducing pesticide use where fewer benefits result. The environmental consequences of losing millions of ash trees are vastly greater than the minimal risk associated with inoculating high-quality ash trees to protect them from certain death. At the Minnesota Shade Tree Short Course held in Arden Hills, Minnesota, March 18 and 19, 2014, Marla Spivak, the Distinguished McKnight Professor in Entomology at the University of Minnesota, and an internationally recognized expert on bees, said that the benefits of trunk-injected EB for ash trees outweigh the minimal potential harm to bees. Dr. Deborah McCullough, a professor of entomology and forestry at Michigan State University, has stated, 'There is no reason for a landscape ash tree to die from emerald ash borer anymore.'” </t>
  </si>
  <si>
    <r>
      <t xml:space="preserve">Assumptions: </t>
    </r>
    <r>
      <rPr>
        <sz val="10"/>
        <color theme="1"/>
        <rFont val="Times New Roman"/>
        <family val="1"/>
      </rPr>
      <t>This simplified calculator does not accommodate changes to the assumptions listed below:</t>
    </r>
  </si>
  <si>
    <t>Treatment frequency during high-pest-pressure period (Years 1-13)</t>
  </si>
  <si>
    <t>Treatment frequency during low-pest-pressure period (Years 14-20)</t>
  </si>
  <si>
    <t>Treatment costs per DBH (diameter at breast height in inches, 4.5 feet above the ground)</t>
  </si>
  <si>
    <t>High-quality, city-owned, ash trees to be protected</t>
  </si>
  <si>
    <t>Cumulative tree value, new trees</t>
  </si>
  <si>
    <t>Cumulative tree value, surviving trees</t>
  </si>
  <si>
    <t>Base Case (100% removal and replacement per EAB Death Curve)</t>
  </si>
  <si>
    <t>Cumulative tree value per protected tree</t>
  </si>
  <si>
    <t>Cumulative tree value per surviving tree</t>
  </si>
  <si>
    <t>Cumulative tree value per total DBH, surviving trees</t>
  </si>
  <si>
    <t>Cumulative tree value, protected trees</t>
  </si>
  <si>
    <t>Cumulative tree value, replacement trees</t>
  </si>
  <si>
    <r>
      <t xml:space="preserve">Peak-Period Removals of Unprotected Trees (Years 4-8) </t>
    </r>
    <r>
      <rPr>
        <b/>
        <vertAlign val="superscript"/>
        <sz val="10"/>
        <rFont val="Times New Roman"/>
        <family val="1"/>
      </rPr>
      <t>1</t>
    </r>
  </si>
  <si>
    <t>Protection Plan trees</t>
  </si>
  <si>
    <r>
      <t xml:space="preserve">GHG comparison to annual emissions of average car (number of cars) </t>
    </r>
    <r>
      <rPr>
        <vertAlign val="superscript"/>
        <sz val="10"/>
        <color theme="1"/>
        <rFont val="Times New Roman"/>
        <family val="1"/>
      </rPr>
      <t>3</t>
    </r>
  </si>
  <si>
    <r>
      <t xml:space="preserve">Comparison to typical campfire (number of campfires) </t>
    </r>
    <r>
      <rPr>
        <vertAlign val="superscript"/>
        <sz val="10"/>
        <color theme="1"/>
        <rFont val="Times New Roman"/>
        <family val="1"/>
      </rPr>
      <t>4</t>
    </r>
  </si>
  <si>
    <r>
      <rPr>
        <b/>
        <sz val="10"/>
        <color theme="1"/>
        <rFont val="Times New Roman"/>
        <family val="1"/>
      </rPr>
      <t xml:space="preserve">Contact person: </t>
    </r>
    <r>
      <rPr>
        <sz val="10"/>
        <color theme="1"/>
        <rFont val="Times New Roman"/>
        <family val="1"/>
      </rPr>
      <t>Michael Orange, orange_michael@msn.com, 952-905-1448. Orange developed this calculator as a member of the MPCA’s Retiree Environmental Technical Assistance Program (RETAP)</t>
    </r>
  </si>
  <si>
    <t xml:space="preserve">Average DBH, low-quality trees </t>
  </si>
  <si>
    <t xml:space="preserve">Average DBH, high-quality trees </t>
  </si>
  <si>
    <t>Number of low-quality trees</t>
  </si>
  <si>
    <t>Number of high-quality trees</t>
  </si>
  <si>
    <t>Protection Plan, remove and replace low-quality trees</t>
  </si>
  <si>
    <t>Base Case, remove and replace low-quality trees</t>
  </si>
  <si>
    <t>Base Case, remove and replace high-quality trees</t>
  </si>
  <si>
    <t>Protection Plan, protect high-quality trees</t>
  </si>
  <si>
    <t>Protection Plan cost total</t>
  </si>
  <si>
    <t>Cumulative tree value, low-quality trees</t>
  </si>
  <si>
    <t>Cumulative tree value, high-quality trees</t>
  </si>
  <si>
    <t>From</t>
  </si>
  <si>
    <t>To</t>
  </si>
  <si>
    <t>B23</t>
  </si>
  <si>
    <t>F20</t>
  </si>
  <si>
    <t>F22</t>
  </si>
  <si>
    <t>F24 and G24</t>
  </si>
  <si>
    <t>F25 and G25</t>
  </si>
  <si>
    <t>B42 and C42</t>
  </si>
  <si>
    <t>F39 and G39</t>
  </si>
  <si>
    <t>3. Transfer Base Case cumulative tree value data.</t>
  </si>
  <si>
    <t>B27 and B28</t>
  </si>
  <si>
    <t>F31 and G31</t>
  </si>
  <si>
    <t>5. Transfer Base Case costs.</t>
  </si>
  <si>
    <r>
      <t xml:space="preserve">6. Transfer Base Case cumulative tree value. </t>
    </r>
    <r>
      <rPr>
        <b/>
        <sz val="10"/>
        <color theme="1"/>
        <rFont val="TimesNewRomanPSMT"/>
      </rPr>
      <t>This completes the transfers for the Base Case.</t>
    </r>
  </si>
  <si>
    <t>Data transfer for low-quality trees:</t>
  </si>
  <si>
    <t>Data transfer for high-quality trees:</t>
  </si>
  <si>
    <t>7. Transfer Protection Plan treatment costs.</t>
  </si>
  <si>
    <r>
      <t xml:space="preserve">8. Transfer Protection Plan cumulative tree value. </t>
    </r>
    <r>
      <rPr>
        <b/>
        <sz val="10"/>
        <color theme="1"/>
        <rFont val="Times New Roman"/>
        <family val="1"/>
      </rPr>
      <t>This completes the transfers.</t>
    </r>
  </si>
  <si>
    <t>Model for Two Tree Groups</t>
  </si>
  <si>
    <t>1. Set Cost-Benefit Model for number and size of low-quality trees in B6, B7, and C10. B6 and C10 should be the same number.</t>
  </si>
  <si>
    <t>2. Transfer Base Case costs from Cost-Benefit Model to Model for Two Tree Groups</t>
  </si>
  <si>
    <t xml:space="preserve">(2) Refer to "Context" sheet for an explanation of this section of the Cost-Benefit Model. </t>
  </si>
  <si>
    <t>4. Set Cost-Benefit Model for number and size of high-quality trees in B6, B7, and C10. B6 and C10 should be the same number.</t>
  </si>
  <si>
    <t xml:space="preserve">Ash Tree Characteristics </t>
  </si>
  <si>
    <t>Ash Tree Characteristics</t>
  </si>
  <si>
    <t>B35 and C35</t>
  </si>
  <si>
    <r>
      <t xml:space="preserve">(1) The "Context" sheet describes the terms </t>
    </r>
    <r>
      <rPr>
        <i/>
        <sz val="10"/>
        <color theme="1"/>
        <rFont val="Times New Roman"/>
        <family val="1"/>
      </rPr>
      <t>low-quality</t>
    </r>
    <r>
      <rPr>
        <sz val="10"/>
        <color theme="1"/>
        <rFont val="Times New Roman"/>
        <family val="1"/>
      </rPr>
      <t xml:space="preserve"> and </t>
    </r>
    <r>
      <rPr>
        <i/>
        <sz val="10"/>
        <color theme="1"/>
        <rFont val="Times New Roman"/>
        <family val="1"/>
      </rPr>
      <t xml:space="preserve">high-quality </t>
    </r>
    <r>
      <rPr>
        <sz val="10"/>
        <color theme="1"/>
        <rFont val="Times New Roman"/>
        <family val="1"/>
      </rPr>
      <t xml:space="preserve">trees and provides a link to the National Tree Benefit Calculator, which is the source for cumulative tree value. It also describes the EAB </t>
    </r>
    <r>
      <rPr>
        <i/>
        <sz val="10"/>
        <color theme="1"/>
        <rFont val="Times New Roman"/>
        <family val="1"/>
      </rPr>
      <t>Death Curve</t>
    </r>
    <r>
      <rPr>
        <sz val="10"/>
        <color theme="1"/>
        <rFont val="Times New Roman"/>
        <family val="1"/>
      </rPr>
      <t>, which is the basis for tree deaths and tree replacements for the Base Case.</t>
    </r>
  </si>
  <si>
    <t>Cost-Benefit Model Comparisons</t>
  </si>
  <si>
    <t>Model for Two Tree Groups Comparisons</t>
  </si>
  <si>
    <t xml:space="preserve">(5) Beta test results: Compared to the Cost-Benefit Model, the Model for Two Tree Groups improved accuracy modestly (generally about 5%) for the cost estimations and the percent savings from the Protection Plan, primarily because variations in DBH and treatment rates tend to average out. However, the Model for Two Tree Groups had larger improvements in the accuracy of the cumulative tree value estimates. The Cost-Benefit Model tends to overestimate cumulative tree value when treatment rates are low, especially in the 10-20-year period.   </t>
  </si>
  <si>
    <t xml:space="preserve">The Cost-Benefit Calculator assumes a city has classified its ash trees into two categories: low-quality trees to be removed, and high-quality trees to be protected. </t>
  </si>
  <si>
    <r>
      <t>A model that predicts a) the costs and benefits of the best practices for managing the Emerald Ash Borer infestation (</t>
    </r>
    <r>
      <rPr>
        <b/>
        <i/>
        <sz val="11"/>
        <color theme="0"/>
        <rFont val="Times New Roman"/>
        <family val="1"/>
      </rPr>
      <t>Save the best; replace the rest</t>
    </r>
    <r>
      <rPr>
        <b/>
        <sz val="11"/>
        <color theme="0"/>
        <rFont val="Times New Roman"/>
        <family val="1"/>
      </rPr>
      <t>), and b) the emissions from the open burning of waste ash wood.</t>
    </r>
  </si>
  <si>
    <r>
      <rPr>
        <b/>
        <sz val="10"/>
        <color theme="1"/>
        <rFont val="Times New Roman"/>
        <family val="1"/>
      </rPr>
      <t xml:space="preserve">Tree benefits and classification: </t>
    </r>
    <r>
      <rPr>
        <sz val="10"/>
        <color theme="1"/>
        <rFont val="Times New Roman"/>
        <family val="1"/>
      </rPr>
      <t xml:space="preserve">In addition to providing aesthetic benefits, trees intercept stormwater, conserve energy, sequester and reduce carbon dioxide, increase property values, decrease crime, improve air quality, provide animal habitat, and improve human health. Location is important. For example, a healthy green ash tree with a 17-inch diameter provides about $167 in benefits each year according to the National Tree Benefit Calculator. (http://www.treebenefits.com/calculator/index.cfm). </t>
    </r>
  </si>
  <si>
    <t>City trees located in areas with significant public traffic (commercial, institutional, and higher-density residential settings) provide greater aesthetic, property value, and human health benefits than those in low-density residential areas that have front yards with private trees and those in industrial areas. An isolated ash tree in a downtown tree grate contributes greatly to softening a harsh urban setting. Provided it’s mature and healthy, it’s a tree worth saving. The same goes for a tree that shades and beautifies a managed area of a city park, the front lawn of a public facility, or a street lacking in other shade trees. On the other hand, replacing city ash trees is more appropriate, for example, on a street that is lined with other species, or has front yards with private trees that will minimize the loss because growth of the existing and replacement trees will fill in the canopy gaps.</t>
  </si>
  <si>
    <r>
      <rPr>
        <b/>
        <sz val="10"/>
        <color theme="1"/>
        <rFont val="Times New Roman"/>
        <family val="1"/>
      </rPr>
      <t xml:space="preserve">Removals: </t>
    </r>
    <r>
      <rPr>
        <sz val="10"/>
        <color theme="1"/>
        <rFont val="Times New Roman"/>
        <family val="1"/>
      </rPr>
      <t>The Cost-Benefit Calculator assumes all low-quality trees are replaced in the Protection Plan (10% per year for Years 1-10); and for the Base Case, it assumes all trees are replaced as the infestation kills them. Mortality is based on the EAB Death Curve, which predicts that 71% of the unprotected trees will die during the peak period (Years 4-8). Source: Minnesota Department of Agriculture. Downloaded 7/1/19: https://www.mda.state.mn.us/sites/default/files/inline-files/EAB%20Management%20Guidelines%202018%20WEB.pdf.</t>
    </r>
  </si>
  <si>
    <r>
      <rPr>
        <b/>
        <sz val="10"/>
        <color theme="1"/>
        <rFont val="Times New Roman"/>
        <family val="1"/>
      </rPr>
      <t xml:space="preserve">Description: </t>
    </r>
    <r>
      <rPr>
        <sz val="10"/>
        <color theme="1"/>
        <rFont val="Times New Roman"/>
        <family val="1"/>
      </rPr>
      <t xml:space="preserve">The Cost-Benefit Calculator compares the approximate costs and benefits of two management strategies for the infestation over a 20-year study period: The </t>
    </r>
    <r>
      <rPr>
        <i/>
        <sz val="10"/>
        <color theme="1"/>
        <rFont val="Times New Roman"/>
        <family val="1"/>
      </rPr>
      <t>Base Case</t>
    </r>
    <r>
      <rPr>
        <sz val="10"/>
        <color theme="1"/>
        <rFont val="Times New Roman"/>
        <family val="1"/>
      </rPr>
      <t xml:space="preserve"> represents the strategy used by cities first hit by the Emerald Ash Borer (EAB infestation. It is a no-action approach that assumes no preemptive actions are taken but city-owned trees are replaced as they succumb to the infestation. Scientific advancements have since shown that this original strategy is the most economically and environmentally damaging approach. The </t>
    </r>
    <r>
      <rPr>
        <i/>
        <sz val="10"/>
        <color theme="1"/>
        <rFont val="Times New Roman"/>
        <family val="1"/>
      </rPr>
      <t>Protection Plan</t>
    </r>
    <r>
      <rPr>
        <sz val="10"/>
        <color theme="1"/>
        <rFont val="Times New Roman"/>
        <family val="1"/>
      </rPr>
      <t xml:space="preserve"> incorporates the most current science-based research designed to minimize the economic, environmental, and human health impacts of the infestation. The Protection Plan assumes the removal and replacement of low-quality ash trees (see description below) and the long-term protection of mature, healthy, properly located trees in order to minimize costs, minimize peak-period costs and debris management, preserve tree benefits, and enable the orderly transition to a more diversified urban forest. For more information, download the Model EAB Management Plan (http://www.mnstac.org/uploads/2/0/9/3/20933948/mnstac_model_eab_management_plan.pdf).</t>
    </r>
  </si>
  <si>
    <r>
      <rPr>
        <b/>
        <sz val="10"/>
        <color theme="1"/>
        <rFont val="Times New Roman"/>
        <family val="1"/>
      </rPr>
      <t xml:space="preserve">Treatment safety: </t>
    </r>
    <r>
      <rPr>
        <sz val="10"/>
        <color theme="1"/>
        <rFont val="Times New Roman"/>
        <family val="1"/>
      </rPr>
      <t>The Cost-Benefit Calculator assumes the use of emamectin benzoate (EB), a systemic (trunk-injected) pesticide, to preserve high-quality ash trees. The Model Emerald Ash Borer Management Plan includes the following about the safe use of this pesticide:</t>
    </r>
  </si>
  <si>
    <r>
      <rPr>
        <b/>
        <sz val="10"/>
        <color theme="1"/>
        <rFont val="Times New Roman"/>
        <family val="1"/>
      </rPr>
      <t xml:space="preserve">Open burning emissions: </t>
    </r>
    <r>
      <rPr>
        <sz val="10"/>
        <color theme="1"/>
        <rFont val="Times New Roman"/>
        <family val="1"/>
      </rPr>
      <t xml:space="preserve">Preemptive removals and deaths of ash trees from the infestation will result in what some describe as a "wall of wood" debris. Some of this wood may be used by the wood products industry, some as biofuel, and some as mulch. However, some may be managed by open burning. The Cost-Benefit Calculator generates the associated greenhouse gas and criteria pollutant emissions from open burning. To learn about the significant human health effects caused by criteria pollutants, refer to: https://www.epa.gov/sites/production/files/2015-10/documents/ace3_criteria_air_pollutants.pdf. Also: https://www.pca.state.mn.us/air/volatile-organic-compounds-vocs. 			</t>
    </r>
  </si>
  <si>
    <r>
      <rPr>
        <b/>
        <sz val="10"/>
        <color theme="1"/>
        <rFont val="Times New Roman"/>
        <family val="1"/>
      </rPr>
      <t xml:space="preserve">Source, outputs, and limitations: </t>
    </r>
    <r>
      <rPr>
        <sz val="10"/>
        <color theme="1"/>
        <rFont val="Times New Roman"/>
        <family val="1"/>
      </rPr>
      <t>The Cost-Benefit Calculator is a greatly simplified adaptation of the cost-benefit model developed by Rainbow Treecare (and made publicly available with the company’s permission). The Cost-Benefit Calculator is limited to its specific set of assumptions (listed below) and can only accept 4 variables: The number and size of the total ash tree population, number of the trees to be treated, and the number of trees to be managed by open burning. Emission factors are from the Minnesota Pollution Control Agency.</t>
    </r>
  </si>
  <si>
    <r>
      <t xml:space="preserve">The Cost-Benefit Model can be used to address a fifth variable: Two groups of trees with different average sizes, i.e., low-quality and high-quality trees. The Model for Two Tree Groups below accepts the results from using the Cost-Benefit Model to generate </t>
    </r>
    <r>
      <rPr>
        <u/>
        <sz val="10"/>
        <color theme="1"/>
        <rFont val="TimesNewRomanPSMT"/>
      </rPr>
      <t>separate</t>
    </r>
    <r>
      <rPr>
        <sz val="10"/>
        <color theme="1"/>
        <rFont val="TimesNewRomanPSMT"/>
        <family val="2"/>
      </rPr>
      <t xml:space="preserve"> estimates for the 2 groups. The procedure for transferring 10 results from the Cost-Benefit Model are described below. To illustrate the process, the Model for Two Tree Groups below includes a sample calculation using 250 low-quality trees with an average 10" DBH, and 750 high-quality trees with an average 17" DBH. The results are combined to provide greater accuracy than the Cost-Benefit Model, which uses a single average tree size for the entire population.</t>
    </r>
    <r>
      <rPr>
        <vertAlign val="superscript"/>
        <sz val="10"/>
        <color theme="1"/>
        <rFont val="TimesNewRomanPSMT"/>
      </rPr>
      <t>5</t>
    </r>
    <r>
      <rPr>
        <sz val="10"/>
        <color theme="1"/>
        <rFont val="TimesNewRomanPSMT"/>
        <family val="2"/>
      </rPr>
      <t xml:space="preserve"> </t>
    </r>
    <r>
      <rPr>
        <b/>
        <sz val="10"/>
        <color theme="1"/>
        <rFont val="TimesNewRomanPSMT"/>
      </rPr>
      <t>Suggestion: Preserve this Excel file with the city name before updating it with actual city data. Use the Cost-Benefit Model to easily compare a variety of treatment scenarios, and then use the Model for Two Tree Groups to refine the estimations for a selected strategy.</t>
    </r>
  </si>
  <si>
    <r>
      <rPr>
        <b/>
        <sz val="10"/>
        <color rgb="FF000000"/>
        <rFont val="Times New Roman"/>
        <family val="1"/>
      </rPr>
      <t xml:space="preserve">Rainbow Treecare cost-benefit model: </t>
    </r>
    <r>
      <rPr>
        <sz val="10"/>
        <color rgb="FF000000"/>
        <rFont val="Times New Roman"/>
        <family val="1"/>
      </rPr>
      <t>The Rainbow Treecare model that the Cost-Benefit Calculator is based on is a much more sophisticated and versatile tool. It can generate cost-benefit comparisons for 11 variables over a 20-year study period: Number and average size of ash trees in a wide variety of management scenarios; percent treated, treatment frequency, and treatment cost; average removal cost; tree replacement rate; and the average cost for the purchase, installation, and additional maintenance for a new tree. It can also account for the effects of preemptive removals, hazard tree removals, treatments for staged removals, or subsidy programs for trees on private property. For more information, contact Jeffrey Hafner, 612-290-4779, jhafner@rainbowtreecare.com.</t>
    </r>
  </si>
  <si>
    <t>Procedure for Data Transfer for Two Tree Groups</t>
  </si>
  <si>
    <r>
      <rPr>
        <b/>
        <sz val="10"/>
        <color theme="1"/>
        <rFont val="TimesNewRomanPSMT"/>
      </rPr>
      <t xml:space="preserve">Model for Two Tree Groups: </t>
    </r>
    <r>
      <rPr>
        <sz val="10"/>
        <color theme="1"/>
        <rFont val="TimesNewRomanPSMT"/>
        <family val="2"/>
      </rPr>
      <t xml:space="preserve">The </t>
    </r>
    <r>
      <rPr>
        <sz val="10"/>
        <color rgb="FF00B0F0"/>
        <rFont val="TimesNewRomanPSMT"/>
      </rPr>
      <t xml:space="preserve">Cost-Benefit Model </t>
    </r>
    <r>
      <rPr>
        <sz val="10"/>
        <color theme="1"/>
        <rFont val="TimesNewRomanPSMT"/>
        <family val="2"/>
      </rPr>
      <t xml:space="preserve">can be used to address a fifth variable: low-quality and high-quality trees with different average sizes. The </t>
    </r>
    <r>
      <rPr>
        <sz val="10"/>
        <color rgb="FF00B0F0"/>
        <rFont val="TimesNewRomanPSMT"/>
      </rPr>
      <t>Model for Two Tree Groups</t>
    </r>
    <r>
      <rPr>
        <sz val="10"/>
        <color theme="1"/>
        <rFont val="TimesNewRomanPSMT"/>
        <family val="2"/>
      </rPr>
      <t xml:space="preserve"> accepts the results from using the Cost-Benefit Model to generate </t>
    </r>
    <r>
      <rPr>
        <u/>
        <sz val="10"/>
        <color theme="1"/>
        <rFont val="TimesNewRomanPSMT"/>
      </rPr>
      <t>separate</t>
    </r>
    <r>
      <rPr>
        <sz val="10"/>
        <color theme="1"/>
        <rFont val="TimesNewRomanPSMT"/>
        <family val="2"/>
      </rPr>
      <t xml:space="preserve"> estimates for the 2 groups and then combines the data to provide greater accuracy than the Cost-Benefit Model, which uses a single average tree size for the entire population. </t>
    </r>
    <r>
      <rPr>
        <b/>
        <sz val="10"/>
        <color theme="1"/>
        <rFont val="TimesNewRomanPSMT"/>
      </rPr>
      <t>Cities may want to use the Cost-Benefit Model to easily compare a variety of treatment scenarios, then use the Model for Two Tree Groups to refine the estimations for a selected strategy.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</si>
</sst>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409]* #,##0_);_([$$-409]* \(#,##0\);_([$$-409]* &quot;-&quot;_);_(@_)"/>
    <numFmt numFmtId="167" formatCode="[$$-409]#,##0.00_);\([$$-409]#,##0.00\)"/>
    <numFmt numFmtId="168" formatCode="0.0"/>
    <numFmt numFmtId="169" formatCode="_(&quot;$&quot;* #,##0.0_);_(&quot;$&quot;* \(#,##0.0\);_(&quot;$&quot;* &quot;-&quot;??_);_(@_)"/>
  </numFmts>
  <fonts count="35">
    <font>
      <sz val="10"/>
      <color theme="1"/>
      <name val="TimesNewRomanPSMT"/>
      <family val="2"/>
    </font>
    <font>
      <sz val="10"/>
      <color theme="1"/>
      <name val="TimesNewRomanPSMT"/>
      <family val="2"/>
    </font>
    <font>
      <sz val="10"/>
      <name val="Times New Roman"/>
      <family val="1"/>
    </font>
    <font>
      <b/>
      <sz val="12"/>
      <name val="Times New Roman"/>
      <family val="1"/>
    </font>
    <font>
      <b/>
      <sz val="10"/>
      <name val="Times New Roman"/>
      <family val="1"/>
    </font>
    <font>
      <sz val="10"/>
      <color theme="1"/>
      <name val="Times New Roman"/>
      <family val="1"/>
    </font>
    <font>
      <b/>
      <sz val="10"/>
      <color theme="1"/>
      <name val="Times New Roman"/>
      <family val="1"/>
    </font>
    <font>
      <sz val="10"/>
      <color rgb="FF000000"/>
      <name val="Times New Roman"/>
      <family val="1"/>
    </font>
    <font>
      <vertAlign val="superscript"/>
      <sz val="10"/>
      <color theme="1"/>
      <name val="Times New Roman"/>
      <family val="1"/>
    </font>
    <font>
      <vertAlign val="subscript"/>
      <sz val="10"/>
      <color theme="1"/>
      <name val="Times New Roman"/>
      <family val="1"/>
    </font>
    <font>
      <sz val="9"/>
      <color theme="1"/>
      <name val="Times New Roman"/>
      <family val="1"/>
    </font>
    <font>
      <b/>
      <sz val="12"/>
      <color theme="0"/>
      <name val="Times New Roman"/>
      <family val="1"/>
    </font>
    <font>
      <b/>
      <vertAlign val="superscript"/>
      <sz val="12"/>
      <color theme="0"/>
      <name val="Times New Roman"/>
      <family val="1"/>
    </font>
    <font>
      <b/>
      <sz val="9"/>
      <color theme="1"/>
      <name val="Times New Roman"/>
      <family val="1"/>
    </font>
    <font>
      <b/>
      <sz val="10"/>
      <color rgb="FF000000"/>
      <name val="Times New Roman"/>
      <family val="1"/>
    </font>
    <font>
      <sz val="10"/>
      <color theme="1"/>
      <name val="Times New Roman"/>
      <family val="2"/>
    </font>
    <font>
      <sz val="10"/>
      <color rgb="FFFF0000"/>
      <name val="TimesNewRomanPSMT"/>
      <family val="2"/>
    </font>
    <font>
      <i/>
      <sz val="10"/>
      <name val="Times New Roman"/>
      <family val="1"/>
    </font>
    <font>
      <sz val="10"/>
      <color rgb="FFFF0000"/>
      <name val="Times New Roman"/>
      <family val="2"/>
    </font>
    <font>
      <b/>
      <sz val="11"/>
      <color theme="0"/>
      <name val="Times New Roman"/>
      <family val="1"/>
    </font>
    <font>
      <b/>
      <i/>
      <sz val="11"/>
      <color theme="0"/>
      <name val="Times New Roman"/>
      <family val="1"/>
    </font>
    <font>
      <sz val="10"/>
      <color rgb="FFFF0000"/>
      <name val="Times New Roman"/>
      <family val="1"/>
    </font>
    <font>
      <b/>
      <sz val="8"/>
      <color theme="0"/>
      <name val="TimesNewRomanPSMT"/>
    </font>
    <font>
      <sz val="8"/>
      <color theme="1"/>
      <name val="TimesNewRomanPSMT"/>
    </font>
    <font>
      <b/>
      <sz val="14"/>
      <color theme="0"/>
      <name val="Times New Roman"/>
      <family val="1"/>
    </font>
    <font>
      <b/>
      <sz val="14"/>
      <color theme="0"/>
      <name val="TimesNewRomanPSMT"/>
    </font>
    <font>
      <b/>
      <vertAlign val="superscript"/>
      <sz val="10"/>
      <name val="Times New Roman"/>
      <family val="1"/>
    </font>
    <font>
      <b/>
      <vertAlign val="superscript"/>
      <sz val="10"/>
      <color theme="1"/>
      <name val="Times New Roman"/>
      <family val="1"/>
    </font>
    <font>
      <i/>
      <sz val="10"/>
      <color theme="1"/>
      <name val="Times New Roman"/>
      <family val="1"/>
    </font>
    <font>
      <b/>
      <sz val="10"/>
      <color theme="0"/>
      <name val="TimesNewRomanPSMT"/>
    </font>
    <font>
      <sz val="10"/>
      <color theme="1"/>
      <name val="TimesNewRomanPSMT"/>
    </font>
    <font>
      <b/>
      <sz val="10"/>
      <color theme="1"/>
      <name val="TimesNewRomanPSMT"/>
    </font>
    <font>
      <u/>
      <sz val="10"/>
      <color theme="1"/>
      <name val="TimesNewRomanPSMT"/>
    </font>
    <font>
      <vertAlign val="superscript"/>
      <sz val="10"/>
      <color theme="1"/>
      <name val="TimesNewRomanPSMT"/>
    </font>
    <font>
      <sz val="10"/>
      <color rgb="FF00B0F0"/>
      <name val="TimesNewRomanPSMT"/>
    </font>
  </fonts>
  <fills count="11">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rgb="FF00B050"/>
        <bgColor indexed="64"/>
      </patternFill>
    </fill>
    <fill>
      <patternFill patternType="solid">
        <fgColor rgb="FF00B0F0"/>
        <bgColor indexed="64"/>
      </patternFill>
    </fill>
    <fill>
      <patternFill patternType="solid">
        <fgColor rgb="FFFFC2A8"/>
        <bgColor indexed="64"/>
      </patternFill>
    </fill>
    <fill>
      <patternFill patternType="solid">
        <fgColor theme="9" tint="0.59999389629810485"/>
        <bgColor indexed="64"/>
      </patternFill>
    </fill>
    <fill>
      <patternFill patternType="solid">
        <fgColor rgb="FFFFC7F9"/>
        <bgColor indexed="64"/>
      </patternFill>
    </fill>
    <fill>
      <patternFill patternType="solid">
        <fgColor theme="9" tint="0.79998168889431442"/>
        <bgColor indexed="64"/>
      </patternFill>
    </fill>
    <fill>
      <patternFill patternType="solid">
        <fgColor theme="0"/>
        <bgColor indexed="64"/>
      </patternFill>
    </fill>
  </fills>
  <borders count="19">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10">
    <xf numFmtId="0" fontId="0" fillId="0" borderId="0" xfId="0"/>
    <xf numFmtId="0" fontId="4" fillId="2" borderId="3" xfId="0" applyFont="1" applyFill="1" applyBorder="1" applyAlignment="1">
      <alignment horizontal="center" vertical="center"/>
    </xf>
    <xf numFmtId="164" fontId="5" fillId="0" borderId="2" xfId="1" applyNumberFormat="1" applyFont="1" applyFill="1" applyBorder="1" applyAlignment="1">
      <alignment vertical="center"/>
    </xf>
    <xf numFmtId="9" fontId="5" fillId="0" borderId="2" xfId="3" applyNumberFormat="1" applyFont="1" applyFill="1" applyBorder="1" applyAlignment="1">
      <alignment vertical="center"/>
    </xf>
    <xf numFmtId="164" fontId="5" fillId="0" borderId="2" xfId="3" applyNumberFormat="1" applyFont="1" applyFill="1" applyBorder="1" applyAlignment="1">
      <alignment vertical="center"/>
    </xf>
    <xf numFmtId="165" fontId="5" fillId="0" borderId="2" xfId="2" applyNumberFormat="1" applyFont="1" applyFill="1" applyBorder="1" applyAlignment="1">
      <alignment vertical="center"/>
    </xf>
    <xf numFmtId="9" fontId="14" fillId="0" borderId="0" xfId="3" applyFont="1" applyFill="1" applyBorder="1" applyAlignment="1">
      <alignment horizontal="right" vertical="center" readingOrder="1"/>
    </xf>
    <xf numFmtId="9" fontId="15" fillId="0" borderId="3" xfId="3" applyFont="1" applyBorder="1" applyAlignment="1">
      <alignment horizontal="center" vertical="center" wrapText="1"/>
    </xf>
    <xf numFmtId="9" fontId="15" fillId="0" borderId="3" xfId="0" applyNumberFormat="1" applyFont="1" applyBorder="1" applyAlignment="1">
      <alignment horizontal="center" vertical="center" wrapText="1"/>
    </xf>
    <xf numFmtId="0" fontId="15" fillId="0" borderId="0" xfId="0" applyFont="1" applyBorder="1" applyAlignment="1">
      <alignment vertical="center" wrapText="1"/>
    </xf>
    <xf numFmtId="0" fontId="6" fillId="0" borderId="3" xfId="0" applyFont="1" applyBorder="1" applyAlignment="1">
      <alignment horizontal="left" vertical="center"/>
    </xf>
    <xf numFmtId="166" fontId="15" fillId="0" borderId="3" xfId="0" applyNumberFormat="1" applyFont="1" applyBorder="1" applyAlignment="1">
      <alignment vertical="center"/>
    </xf>
    <xf numFmtId="167" fontId="15" fillId="0" borderId="3" xfId="0" applyNumberFormat="1" applyFont="1" applyBorder="1" applyAlignment="1">
      <alignment vertical="center"/>
    </xf>
    <xf numFmtId="165" fontId="15" fillId="0" borderId="3" xfId="3" applyNumberFormat="1" applyFont="1" applyBorder="1" applyAlignment="1">
      <alignment vertical="center" wrapText="1"/>
    </xf>
    <xf numFmtId="2" fontId="15" fillId="0" borderId="3" xfId="0" applyNumberFormat="1" applyFont="1" applyBorder="1" applyAlignment="1">
      <alignment vertical="center"/>
    </xf>
    <xf numFmtId="165" fontId="15" fillId="0" borderId="3" xfId="3" applyNumberFormat="1" applyFont="1" applyBorder="1" applyAlignment="1">
      <alignment horizontal="center" vertical="center" wrapText="1"/>
    </xf>
    <xf numFmtId="0" fontId="10" fillId="0" borderId="1" xfId="0" applyFont="1" applyBorder="1" applyAlignment="1">
      <alignment vertical="center" wrapText="1"/>
    </xf>
    <xf numFmtId="165" fontId="5" fillId="6" borderId="2" xfId="2" applyNumberFormat="1" applyFont="1" applyFill="1" applyBorder="1" applyAlignment="1">
      <alignment vertical="center"/>
    </xf>
    <xf numFmtId="165" fontId="5" fillId="7" borderId="3" xfId="2" applyNumberFormat="1" applyFont="1" applyFill="1" applyBorder="1" applyAlignment="1">
      <alignment vertical="center"/>
    </xf>
    <xf numFmtId="9" fontId="7" fillId="7" borderId="3" xfId="3" applyFont="1" applyFill="1" applyBorder="1" applyAlignment="1">
      <alignment horizontal="right" vertical="center" readingOrder="1"/>
    </xf>
    <xf numFmtId="164" fontId="2" fillId="8" borderId="2" xfId="1" applyNumberFormat="1" applyFont="1" applyFill="1" applyBorder="1" applyAlignment="1">
      <alignment vertical="center"/>
    </xf>
    <xf numFmtId="164" fontId="5" fillId="8" borderId="2" xfId="1" applyNumberFormat="1" applyFont="1" applyFill="1" applyBorder="1" applyAlignment="1">
      <alignment vertical="center"/>
    </xf>
    <xf numFmtId="164" fontId="2" fillId="8" borderId="3" xfId="1" applyNumberFormat="1" applyFont="1" applyFill="1" applyBorder="1" applyAlignment="1">
      <alignment vertical="center"/>
    </xf>
    <xf numFmtId="165" fontId="0" fillId="0" borderId="3" xfId="0" applyNumberFormat="1" applyBorder="1" applyAlignment="1">
      <alignment horizontal="center" vertical="center"/>
    </xf>
    <xf numFmtId="0" fontId="4" fillId="0" borderId="3" xfId="0" applyFont="1" applyBorder="1" applyAlignment="1">
      <alignment vertical="center"/>
    </xf>
    <xf numFmtId="9" fontId="5" fillId="0" borderId="3" xfId="0" applyNumberFormat="1" applyFont="1" applyBorder="1" applyAlignment="1">
      <alignment vertical="center"/>
    </xf>
    <xf numFmtId="164" fontId="5" fillId="0" borderId="3" xfId="1" applyNumberFormat="1" applyFont="1" applyFill="1" applyBorder="1" applyAlignment="1">
      <alignment vertical="center"/>
    </xf>
    <xf numFmtId="9" fontId="5" fillId="0" borderId="3" xfId="3" applyFont="1" applyFill="1" applyBorder="1" applyAlignment="1">
      <alignment vertical="center"/>
    </xf>
    <xf numFmtId="0" fontId="16" fillId="0" borderId="0" xfId="0" applyFont="1"/>
    <xf numFmtId="0" fontId="18" fillId="0" borderId="0" xfId="0" applyFont="1" applyBorder="1" applyAlignment="1">
      <alignment vertical="center" wrapText="1"/>
    </xf>
    <xf numFmtId="168" fontId="15" fillId="0" borderId="3" xfId="0" applyNumberFormat="1" applyFont="1" applyBorder="1" applyAlignment="1">
      <alignment horizontal="center" vertical="center" wrapText="1"/>
    </xf>
    <xf numFmtId="0" fontId="5" fillId="0" borderId="0" xfId="0" applyFont="1"/>
    <xf numFmtId="0" fontId="21" fillId="0" borderId="0" xfId="0" applyFont="1"/>
    <xf numFmtId="0" fontId="21" fillId="0" borderId="0" xfId="0" applyFont="1" applyFill="1"/>
    <xf numFmtId="0" fontId="5" fillId="0" borderId="0" xfId="0" applyFont="1" applyFill="1"/>
    <xf numFmtId="0" fontId="22" fillId="0" borderId="6" xfId="0" applyFont="1" applyFill="1" applyBorder="1" applyAlignment="1">
      <alignment horizontal="center" vertical="center"/>
    </xf>
    <xf numFmtId="0" fontId="22" fillId="0" borderId="0" xfId="0" applyFont="1" applyFill="1" applyBorder="1" applyAlignment="1">
      <alignment horizontal="center" vertical="center"/>
    </xf>
    <xf numFmtId="0" fontId="4" fillId="7" borderId="3" xfId="0" applyFont="1" applyFill="1" applyBorder="1" applyAlignment="1">
      <alignment horizontal="center" vertical="center"/>
    </xf>
    <xf numFmtId="0" fontId="6" fillId="6" borderId="3" xfId="0" applyFont="1" applyFill="1" applyBorder="1" applyAlignment="1">
      <alignment horizontal="center" vertical="center"/>
    </xf>
    <xf numFmtId="0" fontId="4" fillId="6" borderId="7" xfId="0" applyFont="1" applyFill="1" applyBorder="1" applyAlignment="1">
      <alignment horizontal="center" vertical="center"/>
    </xf>
    <xf numFmtId="164" fontId="5" fillId="0" borderId="2" xfId="1" applyNumberFormat="1" applyFont="1" applyFill="1" applyBorder="1" applyAlignment="1" applyProtection="1">
      <alignment vertical="center"/>
      <protection locked="0"/>
    </xf>
    <xf numFmtId="0" fontId="22" fillId="0" borderId="0"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165" fontId="5" fillId="6" borderId="2" xfId="2" applyNumberFormat="1" applyFont="1" applyFill="1" applyBorder="1" applyAlignment="1" applyProtection="1">
      <alignment vertical="center"/>
      <protection locked="0"/>
    </xf>
    <xf numFmtId="165" fontId="5" fillId="0" borderId="2" xfId="2" applyNumberFormat="1" applyFont="1" applyFill="1" applyBorder="1" applyAlignment="1" applyProtection="1">
      <alignment vertical="center"/>
      <protection locked="0"/>
    </xf>
    <xf numFmtId="165" fontId="5" fillId="7" borderId="2" xfId="2" applyNumberFormat="1" applyFont="1" applyFill="1" applyBorder="1" applyAlignment="1" applyProtection="1">
      <alignment vertical="center"/>
      <protection locked="0"/>
    </xf>
    <xf numFmtId="9" fontId="7" fillId="7" borderId="3" xfId="3" applyFont="1" applyFill="1" applyBorder="1" applyAlignment="1" applyProtection="1">
      <alignment horizontal="right" vertical="center" readingOrder="1"/>
      <protection locked="0"/>
    </xf>
    <xf numFmtId="165" fontId="5" fillId="7" borderId="3" xfId="2" applyNumberFormat="1" applyFont="1" applyFill="1" applyBorder="1" applyAlignment="1" applyProtection="1">
      <alignment vertical="center"/>
      <protection locked="0"/>
    </xf>
    <xf numFmtId="169" fontId="5" fillId="0" borderId="2" xfId="2" applyNumberFormat="1" applyFont="1" applyFill="1" applyBorder="1" applyAlignment="1" applyProtection="1">
      <alignment vertical="center"/>
      <protection locked="0"/>
    </xf>
    <xf numFmtId="0" fontId="5" fillId="0" borderId="3" xfId="0" applyFont="1" applyBorder="1" applyAlignment="1">
      <alignment horizontal="left" vertical="center"/>
    </xf>
    <xf numFmtId="0" fontId="4" fillId="3" borderId="3" xfId="0" applyFont="1" applyFill="1" applyBorder="1" applyAlignment="1">
      <alignment horizontal="center" vertical="center"/>
    </xf>
    <xf numFmtId="0" fontId="3" fillId="2" borderId="3" xfId="0" applyFont="1" applyFill="1" applyBorder="1" applyAlignment="1">
      <alignment horizontal="center" vertical="center" wrapText="1"/>
    </xf>
    <xf numFmtId="0" fontId="6" fillId="2" borderId="3" xfId="0" applyFont="1" applyFill="1" applyBorder="1" applyAlignment="1">
      <alignment horizontal="center"/>
    </xf>
    <xf numFmtId="44" fontId="5" fillId="0" borderId="3" xfId="2" applyFont="1" applyBorder="1"/>
    <xf numFmtId="9" fontId="5" fillId="0" borderId="3" xfId="0" applyNumberFormat="1" applyFont="1" applyBorder="1"/>
    <xf numFmtId="0" fontId="5" fillId="0" borderId="3" xfId="0" applyFont="1" applyBorder="1" applyAlignment="1">
      <alignment horizontal="center"/>
    </xf>
    <xf numFmtId="0" fontId="0" fillId="0" borderId="0" xfId="0" applyAlignment="1">
      <alignment vertical="center"/>
    </xf>
    <xf numFmtId="0" fontId="23" fillId="0" borderId="0" xfId="0" applyFont="1" applyFill="1" applyAlignment="1">
      <alignment vertical="center"/>
    </xf>
    <xf numFmtId="0" fontId="16" fillId="0" borderId="0" xfId="0" applyFont="1" applyAlignment="1">
      <alignment vertical="center"/>
    </xf>
    <xf numFmtId="164" fontId="0" fillId="0" borderId="3" xfId="0" applyNumberFormat="1" applyBorder="1" applyAlignment="1">
      <alignment vertical="center"/>
    </xf>
    <xf numFmtId="0" fontId="2" fillId="0" borderId="3" xfId="0" applyFont="1" applyBorder="1" applyAlignment="1">
      <alignment horizontal="left" vertical="center"/>
    </xf>
    <xf numFmtId="164" fontId="2" fillId="0" borderId="2" xfId="1" applyNumberFormat="1" applyFont="1" applyFill="1" applyBorder="1" applyAlignment="1" applyProtection="1">
      <alignment vertical="center"/>
      <protection locked="0"/>
    </xf>
    <xf numFmtId="0" fontId="2" fillId="0" borderId="2" xfId="1" applyNumberFormat="1" applyFont="1" applyFill="1" applyBorder="1" applyAlignment="1" applyProtection="1">
      <alignment horizontal="right" vertical="center"/>
      <protection locked="0"/>
    </xf>
    <xf numFmtId="0" fontId="2" fillId="0" borderId="3" xfId="0" applyFont="1" applyBorder="1" applyAlignment="1" applyProtection="1">
      <alignment horizontal="left" vertical="center"/>
      <protection locked="0"/>
    </xf>
    <xf numFmtId="164" fontId="2" fillId="0" borderId="3" xfId="0" applyNumberFormat="1" applyFont="1" applyBorder="1" applyAlignment="1" applyProtection="1">
      <alignment horizontal="left" vertical="center"/>
      <protection locked="0"/>
    </xf>
    <xf numFmtId="0" fontId="5" fillId="0" borderId="3" xfId="0" applyFont="1" applyFill="1" applyBorder="1" applyAlignment="1">
      <alignment horizontal="left" vertical="center"/>
    </xf>
    <xf numFmtId="0" fontId="16" fillId="0" borderId="0" xfId="0" applyFont="1" applyFill="1" applyAlignment="1">
      <alignment vertical="center"/>
    </xf>
    <xf numFmtId="0" fontId="0" fillId="0" borderId="0" xfId="0" applyFill="1" applyAlignment="1">
      <alignment vertical="center"/>
    </xf>
    <xf numFmtId="0" fontId="0" fillId="0" borderId="3" xfId="0" applyBorder="1" applyAlignment="1" applyProtection="1">
      <alignment vertical="center"/>
      <protection locked="0"/>
    </xf>
    <xf numFmtId="0" fontId="0" fillId="0" borderId="3" xfId="0" applyBorder="1" applyAlignment="1">
      <alignment vertical="center"/>
    </xf>
    <xf numFmtId="0" fontId="6" fillId="6" borderId="3" xfId="0" applyFont="1" applyFill="1" applyBorder="1" applyAlignment="1">
      <alignment horizontal="left" vertical="center"/>
    </xf>
    <xf numFmtId="0" fontId="2" fillId="0" borderId="3" xfId="0" applyFont="1" applyFill="1" applyBorder="1" applyAlignment="1">
      <alignment horizontal="left" vertical="center"/>
    </xf>
    <xf numFmtId="0" fontId="4" fillId="7" borderId="3" xfId="0" applyFont="1" applyFill="1" applyBorder="1" applyAlignment="1">
      <alignment horizontal="left" vertical="center"/>
    </xf>
    <xf numFmtId="0" fontId="2" fillId="0" borderId="3" xfId="0" applyFont="1" applyFill="1" applyBorder="1" applyAlignment="1">
      <alignment horizontal="left" vertical="center" wrapText="1"/>
    </xf>
    <xf numFmtId="0" fontId="5" fillId="0" borderId="3" xfId="0" applyFont="1" applyFill="1" applyBorder="1" applyAlignment="1">
      <alignment horizontal="left" vertical="center" wrapText="1"/>
    </xf>
    <xf numFmtId="0" fontId="16" fillId="0" borderId="0" xfId="0" applyFont="1" applyBorder="1" applyAlignment="1">
      <alignment vertical="center"/>
    </xf>
    <xf numFmtId="0" fontId="0" fillId="0" borderId="3" xfId="0" applyBorder="1" applyAlignment="1">
      <alignment vertical="center"/>
    </xf>
    <xf numFmtId="0" fontId="2" fillId="0" borderId="6" xfId="0" applyFont="1" applyFill="1" applyBorder="1" applyAlignment="1">
      <alignment horizontal="left" vertical="center"/>
    </xf>
    <xf numFmtId="0" fontId="0" fillId="0" borderId="0" xfId="0" applyFill="1" applyBorder="1" applyAlignment="1">
      <alignment vertical="center"/>
    </xf>
    <xf numFmtId="0" fontId="16" fillId="0" borderId="0" xfId="0" applyFont="1" applyFill="1" applyBorder="1" applyAlignment="1">
      <alignment vertical="center"/>
    </xf>
    <xf numFmtId="0" fontId="15" fillId="0" borderId="3" xfId="0" applyFont="1" applyBorder="1" applyAlignment="1">
      <alignment horizontal="left" vertical="center"/>
    </xf>
    <xf numFmtId="0" fontId="29" fillId="0" borderId="6" xfId="0" applyFont="1" applyFill="1" applyBorder="1" applyAlignment="1">
      <alignment horizontal="center" vertical="center"/>
    </xf>
    <xf numFmtId="0" fontId="29" fillId="0" borderId="0" xfId="0" applyFont="1" applyFill="1" applyBorder="1" applyAlignment="1" applyProtection="1">
      <alignment horizontal="center" vertical="center"/>
      <protection locked="0"/>
    </xf>
    <xf numFmtId="0" fontId="29" fillId="0" borderId="0" xfId="0" applyFont="1" applyFill="1" applyBorder="1" applyAlignment="1">
      <alignment horizontal="center" vertical="center"/>
    </xf>
    <xf numFmtId="0" fontId="30" fillId="0" borderId="0" xfId="0" applyFont="1" applyFill="1" applyAlignment="1">
      <alignment vertical="center"/>
    </xf>
    <xf numFmtId="0" fontId="4" fillId="3" borderId="3"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3" xfId="0" applyFont="1" applyFill="1" applyBorder="1" applyAlignment="1">
      <alignment horizontal="left" vertical="center" wrapText="1"/>
    </xf>
    <xf numFmtId="0" fontId="0" fillId="0" borderId="0" xfId="0" applyAlignment="1">
      <alignment vertical="center"/>
    </xf>
    <xf numFmtId="165" fontId="5" fillId="0" borderId="3" xfId="2" applyNumberFormat="1" applyFont="1" applyFill="1" applyBorder="1" applyAlignment="1" applyProtection="1">
      <alignment vertical="center"/>
      <protection locked="0"/>
    </xf>
    <xf numFmtId="165" fontId="0" fillId="0" borderId="3" xfId="0" applyNumberFormat="1" applyBorder="1" applyAlignment="1">
      <alignment vertical="center"/>
    </xf>
    <xf numFmtId="165" fontId="5" fillId="8" borderId="3" xfId="2" applyNumberFormat="1" applyFont="1" applyFill="1" applyBorder="1" applyAlignment="1" applyProtection="1">
      <alignment vertical="center"/>
      <protection locked="0"/>
    </xf>
    <xf numFmtId="165" fontId="0" fillId="8" borderId="3" xfId="0" applyNumberFormat="1" applyFill="1" applyBorder="1" applyAlignment="1">
      <alignment vertical="center"/>
    </xf>
    <xf numFmtId="0" fontId="6" fillId="0" borderId="3" xfId="0" applyFont="1" applyFill="1" applyBorder="1" applyAlignment="1">
      <alignment horizontal="left" vertical="center"/>
    </xf>
    <xf numFmtId="0" fontId="0" fillId="0" borderId="3" xfId="0" applyBorder="1" applyAlignment="1">
      <alignment horizontal="center" vertical="center"/>
    </xf>
    <xf numFmtId="165" fontId="30" fillId="7" borderId="3" xfId="3" applyNumberFormat="1" applyFont="1" applyFill="1" applyBorder="1" applyAlignment="1">
      <alignment vertical="center"/>
    </xf>
    <xf numFmtId="9" fontId="0" fillId="7" borderId="3" xfId="3" applyFont="1" applyFill="1" applyBorder="1" applyAlignment="1">
      <alignment vertical="center"/>
    </xf>
    <xf numFmtId="0" fontId="4" fillId="6" borderId="7" xfId="0" applyFont="1" applyFill="1" applyBorder="1" applyAlignment="1">
      <alignment horizontal="left" vertical="center"/>
    </xf>
    <xf numFmtId="0" fontId="3" fillId="2" borderId="3" xfId="0" applyFont="1" applyFill="1" applyBorder="1" applyAlignment="1">
      <alignment horizontal="center" vertical="center" wrapText="1"/>
    </xf>
    <xf numFmtId="0" fontId="31" fillId="2" borderId="3" xfId="0" applyFont="1" applyFill="1" applyBorder="1" applyAlignment="1">
      <alignment horizontal="center" vertical="center"/>
    </xf>
    <xf numFmtId="164" fontId="2" fillId="0" borderId="3" xfId="1" applyNumberFormat="1" applyFont="1" applyFill="1" applyBorder="1" applyAlignment="1">
      <alignment vertical="center"/>
    </xf>
    <xf numFmtId="9" fontId="0" fillId="0" borderId="3" xfId="3" applyFont="1" applyBorder="1" applyAlignment="1">
      <alignment vertical="center"/>
    </xf>
    <xf numFmtId="0" fontId="4" fillId="10" borderId="7" xfId="0" applyFont="1" applyFill="1" applyBorder="1" applyAlignment="1">
      <alignment horizontal="center" vertical="center"/>
    </xf>
    <xf numFmtId="0" fontId="4" fillId="10" borderId="3" xfId="0" applyFont="1" applyFill="1" applyBorder="1" applyAlignment="1">
      <alignment horizontal="center" vertical="center"/>
    </xf>
    <xf numFmtId="0" fontId="4" fillId="10" borderId="3" xfId="0" applyFont="1" applyFill="1" applyBorder="1" applyAlignment="1">
      <alignment horizontal="left" vertical="center"/>
    </xf>
    <xf numFmtId="9" fontId="0" fillId="0" borderId="3" xfId="3" applyFont="1" applyBorder="1" applyAlignment="1">
      <alignment horizontal="center" vertical="center"/>
    </xf>
    <xf numFmtId="165" fontId="0" fillId="0" borderId="3" xfId="3" applyNumberFormat="1" applyFont="1" applyBorder="1" applyAlignment="1">
      <alignment horizontal="center" vertical="center"/>
    </xf>
    <xf numFmtId="0" fontId="0" fillId="0" borderId="2" xfId="0"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vertical="center" wrapText="1"/>
    </xf>
    <xf numFmtId="0" fontId="31" fillId="2" borderId="3" xfId="0" applyFont="1" applyFill="1" applyBorder="1" applyAlignment="1">
      <alignment vertical="center"/>
    </xf>
    <xf numFmtId="0" fontId="0" fillId="0" borderId="3" xfId="0" applyBorder="1" applyAlignment="1">
      <alignment vertical="center"/>
    </xf>
    <xf numFmtId="43" fontId="5" fillId="8" borderId="2" xfId="1" applyNumberFormat="1" applyFont="1" applyFill="1" applyBorder="1" applyAlignment="1">
      <alignment vertical="center"/>
    </xf>
    <xf numFmtId="43" fontId="0" fillId="0" borderId="3" xfId="0" applyNumberFormat="1" applyBorder="1" applyAlignment="1">
      <alignment vertical="center"/>
    </xf>
    <xf numFmtId="0" fontId="0" fillId="0" borderId="3" xfId="0" applyBorder="1" applyAlignment="1">
      <alignment vertical="center"/>
    </xf>
    <xf numFmtId="0" fontId="0" fillId="0" borderId="3" xfId="0" applyBorder="1" applyAlignment="1">
      <alignment vertical="center" wrapText="1"/>
    </xf>
    <xf numFmtId="0" fontId="6" fillId="0" borderId="13" xfId="0" applyFont="1" applyBorder="1" applyAlignment="1">
      <alignment horizontal="left" vertical="center"/>
    </xf>
    <xf numFmtId="0" fontId="6" fillId="2" borderId="13" xfId="0" applyFont="1" applyFill="1" applyBorder="1" applyAlignment="1">
      <alignment horizontal="center" vertical="center"/>
    </xf>
    <xf numFmtId="0" fontId="0" fillId="0" borderId="0" xfId="0" applyBorder="1" applyAlignment="1">
      <alignment vertical="center"/>
    </xf>
    <xf numFmtId="0" fontId="23" fillId="0" borderId="0" xfId="0" applyFont="1" applyFill="1" applyBorder="1" applyAlignment="1">
      <alignment vertical="center"/>
    </xf>
    <xf numFmtId="0" fontId="0" fillId="0" borderId="15" xfId="0" applyBorder="1" applyAlignment="1">
      <alignment vertical="center"/>
    </xf>
    <xf numFmtId="0" fontId="23" fillId="0" borderId="15" xfId="0" applyFont="1" applyFill="1" applyBorder="1" applyAlignment="1">
      <alignment vertical="center"/>
    </xf>
    <xf numFmtId="0" fontId="5" fillId="0" borderId="6" xfId="0" applyFont="1" applyBorder="1"/>
    <xf numFmtId="0" fontId="5" fillId="0" borderId="0" xfId="0" applyFont="1" applyBorder="1"/>
    <xf numFmtId="0" fontId="5" fillId="0" borderId="15" xfId="0" applyFont="1" applyBorder="1"/>
    <xf numFmtId="0" fontId="5" fillId="0" borderId="3" xfId="0" applyFont="1" applyBorder="1" applyAlignment="1">
      <alignment horizontal="left" indent="2"/>
    </xf>
    <xf numFmtId="0" fontId="6" fillId="0" borderId="4"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30" fillId="0" borderId="1" xfId="0" applyFont="1" applyFill="1" applyBorder="1" applyAlignment="1">
      <alignment vertical="center" wrapText="1"/>
    </xf>
    <xf numFmtId="0" fontId="30" fillId="0" borderId="9" xfId="0" applyFont="1" applyFill="1" applyBorder="1" applyAlignment="1">
      <alignment vertical="center" wrapText="1"/>
    </xf>
    <xf numFmtId="0" fontId="30" fillId="0" borderId="2" xfId="0" applyFont="1" applyFill="1" applyBorder="1" applyAlignment="1">
      <alignment vertical="center" wrapText="1"/>
    </xf>
    <xf numFmtId="0" fontId="5" fillId="9" borderId="16" xfId="0" applyFont="1" applyFill="1" applyBorder="1" applyAlignment="1">
      <alignment vertical="center" wrapText="1"/>
    </xf>
    <xf numFmtId="0" fontId="5" fillId="9" borderId="17" xfId="0" applyFont="1" applyFill="1" applyBorder="1" applyAlignment="1">
      <alignment vertical="center" wrapText="1"/>
    </xf>
    <xf numFmtId="0" fontId="5" fillId="9" borderId="18" xfId="0" applyFont="1" applyFill="1" applyBorder="1" applyAlignment="1">
      <alignment vertical="center" wrapText="1"/>
    </xf>
    <xf numFmtId="0" fontId="24" fillId="4" borderId="4" xfId="0" applyFont="1" applyFill="1" applyBorder="1" applyAlignment="1">
      <alignment horizontal="center" vertical="center"/>
    </xf>
    <xf numFmtId="0" fontId="24" fillId="4" borderId="11" xfId="0" applyFont="1" applyFill="1" applyBorder="1" applyAlignment="1">
      <alignment horizontal="center" vertical="center"/>
    </xf>
    <xf numFmtId="0" fontId="24" fillId="4" borderId="5" xfId="0" applyFont="1" applyFill="1" applyBorder="1" applyAlignment="1">
      <alignment horizontal="center" vertical="center"/>
    </xf>
    <xf numFmtId="0" fontId="19" fillId="4" borderId="6" xfId="0" applyFont="1" applyFill="1" applyBorder="1" applyAlignment="1">
      <alignment horizontal="center" vertical="center" wrapText="1"/>
    </xf>
    <xf numFmtId="0" fontId="19" fillId="4" borderId="0" xfId="0" applyFont="1" applyFill="1" applyBorder="1" applyAlignment="1">
      <alignment horizontal="center" vertical="center" wrapText="1"/>
    </xf>
    <xf numFmtId="0" fontId="19" fillId="4" borderId="15"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8" xfId="0" applyFont="1" applyFill="1" applyBorder="1" applyAlignment="1">
      <alignment horizontal="left" vertical="center" wrapText="1"/>
    </xf>
    <xf numFmtId="0" fontId="5" fillId="0" borderId="6" xfId="0" applyFont="1" applyFill="1" applyBorder="1" applyAlignment="1">
      <alignment horizontal="left" vertical="center" wrapText="1" indent="1"/>
    </xf>
    <xf numFmtId="0" fontId="5" fillId="0" borderId="0" xfId="0" applyFont="1" applyFill="1" applyBorder="1" applyAlignment="1">
      <alignment horizontal="left" vertical="center" wrapText="1" indent="1"/>
    </xf>
    <xf numFmtId="0" fontId="5" fillId="0" borderId="15" xfId="0" applyFont="1" applyFill="1" applyBorder="1" applyAlignment="1">
      <alignment horizontal="left" vertical="center" wrapText="1" indent="1"/>
    </xf>
    <xf numFmtId="0" fontId="5" fillId="0" borderId="7" xfId="0" applyFont="1" applyFill="1" applyBorder="1" applyAlignment="1">
      <alignment horizontal="left" vertical="center" wrapText="1" indent="1"/>
    </xf>
    <xf numFmtId="0" fontId="5" fillId="0" borderId="10" xfId="0" applyFont="1" applyFill="1" applyBorder="1" applyAlignment="1">
      <alignment horizontal="left" vertical="center" wrapText="1" indent="1"/>
    </xf>
    <xf numFmtId="0" fontId="5" fillId="0" borderId="8" xfId="0" applyFont="1" applyFill="1" applyBorder="1" applyAlignment="1">
      <alignment horizontal="left" vertical="center" wrapText="1" indent="1"/>
    </xf>
    <xf numFmtId="0" fontId="25" fillId="4" borderId="6" xfId="0" applyFont="1" applyFill="1" applyBorder="1" applyAlignment="1">
      <alignment horizontal="center" vertical="center"/>
    </xf>
    <xf numFmtId="0" fontId="25" fillId="4" borderId="0" xfId="0" applyFont="1" applyFill="1" applyBorder="1" applyAlignment="1">
      <alignment horizontal="center" vertical="center"/>
    </xf>
    <xf numFmtId="0" fontId="5" fillId="0" borderId="12" xfId="0" applyFont="1" applyFill="1" applyBorder="1" applyAlignment="1">
      <alignment horizontal="left" vertical="center"/>
    </xf>
    <xf numFmtId="0" fontId="5" fillId="0" borderId="14" xfId="0" applyFont="1" applyFill="1" applyBorder="1" applyAlignment="1">
      <alignment horizontal="left" vertical="center"/>
    </xf>
    <xf numFmtId="0" fontId="5" fillId="0" borderId="13" xfId="0" applyFont="1" applyFill="1" applyBorder="1" applyAlignment="1">
      <alignment horizontal="left" vertical="center"/>
    </xf>
    <xf numFmtId="165" fontId="0" fillId="0" borderId="12" xfId="0" applyNumberFormat="1" applyFill="1" applyBorder="1" applyAlignment="1">
      <alignment horizontal="center" vertical="center"/>
    </xf>
    <xf numFmtId="165" fontId="0" fillId="0" borderId="13" xfId="0" applyNumberFormat="1" applyFill="1" applyBorder="1" applyAlignment="1">
      <alignment horizontal="center" vertical="center"/>
    </xf>
    <xf numFmtId="165" fontId="0" fillId="8" borderId="4" xfId="0" applyNumberFormat="1" applyFill="1" applyBorder="1" applyAlignment="1">
      <alignment horizontal="center" vertical="center"/>
    </xf>
    <xf numFmtId="165" fontId="0" fillId="8" borderId="6" xfId="0" applyNumberFormat="1" applyFill="1" applyBorder="1" applyAlignment="1">
      <alignment horizontal="center" vertical="center"/>
    </xf>
    <xf numFmtId="165" fontId="0" fillId="8" borderId="7" xfId="0" applyNumberFormat="1" applyFill="1" applyBorder="1" applyAlignment="1">
      <alignment horizontal="center" vertical="center"/>
    </xf>
    <xf numFmtId="165" fontId="0" fillId="8" borderId="3" xfId="0" applyNumberFormat="1" applyFill="1" applyBorder="1" applyAlignment="1">
      <alignment horizontal="center" vertical="center"/>
    </xf>
    <xf numFmtId="0" fontId="11" fillId="5" borderId="4"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5" xfId="0" applyFont="1" applyFill="1" applyBorder="1" applyAlignment="1">
      <alignment horizontal="center" vertical="center"/>
    </xf>
    <xf numFmtId="0" fontId="3" fillId="2" borderId="3" xfId="0" applyFont="1" applyFill="1" applyBorder="1" applyAlignment="1">
      <alignment horizontal="center" vertical="center" wrapText="1"/>
    </xf>
    <xf numFmtId="0" fontId="4" fillId="3" borderId="3" xfId="0" applyFont="1" applyFill="1" applyBorder="1" applyAlignment="1">
      <alignment horizontal="center" vertical="center"/>
    </xf>
    <xf numFmtId="0" fontId="5" fillId="0" borderId="3" xfId="0" applyFont="1" applyBorder="1" applyAlignment="1">
      <alignment vertical="center"/>
    </xf>
    <xf numFmtId="0" fontId="0" fillId="0" borderId="6" xfId="0" applyFill="1" applyBorder="1" applyAlignment="1">
      <alignment vertical="center" wrapText="1"/>
    </xf>
    <xf numFmtId="0" fontId="0" fillId="0" borderId="0" xfId="0" applyFill="1" applyBorder="1" applyAlignment="1">
      <alignment vertical="center" wrapText="1"/>
    </xf>
    <xf numFmtId="0" fontId="0" fillId="0" borderId="15" xfId="0" applyFill="1" applyBorder="1" applyAlignment="1">
      <alignment vertical="center" wrapText="1"/>
    </xf>
    <xf numFmtId="0" fontId="0" fillId="0" borderId="12" xfId="0" applyBorder="1" applyAlignment="1">
      <alignment vertical="center"/>
    </xf>
    <xf numFmtId="0" fontId="0" fillId="0" borderId="13" xfId="0" applyBorder="1" applyAlignment="1">
      <alignment vertical="center"/>
    </xf>
    <xf numFmtId="165" fontId="5" fillId="8" borderId="12" xfId="2" applyNumberFormat="1" applyFont="1" applyFill="1" applyBorder="1" applyAlignment="1" applyProtection="1">
      <alignment vertical="center"/>
      <protection locked="0"/>
    </xf>
    <xf numFmtId="165" fontId="5" fillId="8" borderId="13" xfId="2" applyNumberFormat="1" applyFont="1" applyFill="1" applyBorder="1" applyAlignment="1" applyProtection="1">
      <alignment vertical="center"/>
      <protection locked="0"/>
    </xf>
    <xf numFmtId="165" fontId="0" fillId="0" borderId="12" xfId="0" applyNumberFormat="1" applyBorder="1" applyAlignment="1">
      <alignment vertical="center"/>
    </xf>
    <xf numFmtId="165" fontId="0" fillId="0" borderId="13" xfId="0" applyNumberFormat="1" applyBorder="1" applyAlignment="1">
      <alignment vertical="center"/>
    </xf>
    <xf numFmtId="165" fontId="0" fillId="8" borderId="12" xfId="0" applyNumberFormat="1" applyFill="1" applyBorder="1" applyAlignment="1">
      <alignment vertical="center"/>
    </xf>
    <xf numFmtId="165" fontId="0" fillId="8" borderId="13" xfId="0" applyNumberFormat="1" applyFill="1" applyBorder="1" applyAlignment="1">
      <alignment vertical="center"/>
    </xf>
    <xf numFmtId="0" fontId="0" fillId="0" borderId="14" xfId="0" applyBorder="1" applyAlignment="1">
      <alignment vertical="center"/>
    </xf>
    <xf numFmtId="165" fontId="0" fillId="8" borderId="12" xfId="0" applyNumberFormat="1" applyFill="1" applyBorder="1" applyAlignment="1">
      <alignment horizontal="center" vertical="center"/>
    </xf>
    <xf numFmtId="165" fontId="0" fillId="8" borderId="14" xfId="0" applyNumberFormat="1" applyFill="1" applyBorder="1" applyAlignment="1">
      <alignment horizontal="center" vertical="center"/>
    </xf>
    <xf numFmtId="165" fontId="0" fillId="8" borderId="13" xfId="0" applyNumberFormat="1" applyFill="1" applyBorder="1" applyAlignment="1">
      <alignment horizontal="center" vertical="center"/>
    </xf>
    <xf numFmtId="0" fontId="5" fillId="0" borderId="3" xfId="0" applyFont="1" applyBorder="1" applyAlignment="1">
      <alignment horizontal="left" vertical="center"/>
    </xf>
    <xf numFmtId="0" fontId="0" fillId="0" borderId="3" xfId="0" applyBorder="1" applyAlignment="1">
      <alignment vertical="center"/>
    </xf>
    <xf numFmtId="0" fontId="0" fillId="0" borderId="3" xfId="0" applyFont="1" applyBorder="1" applyAlignment="1">
      <alignment vertical="center"/>
    </xf>
    <xf numFmtId="0" fontId="5" fillId="0" borderId="3" xfId="0" applyFont="1" applyFill="1" applyBorder="1" applyAlignment="1">
      <alignment horizontal="left" vertical="center" wrapText="1"/>
    </xf>
    <xf numFmtId="0" fontId="11" fillId="5" borderId="4"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30" fillId="0" borderId="3" xfId="0" applyFont="1" applyBorder="1" applyAlignment="1">
      <alignment vertical="center" wrapText="1"/>
    </xf>
    <xf numFmtId="0" fontId="0" fillId="0" borderId="3" xfId="0" applyBorder="1" applyAlignment="1">
      <alignment vertical="center" wrapText="1"/>
    </xf>
    <xf numFmtId="0" fontId="4" fillId="3" borderId="3" xfId="0" applyFont="1" applyFill="1" applyBorder="1" applyAlignment="1">
      <alignment horizontal="center" vertical="center" wrapText="1"/>
    </xf>
    <xf numFmtId="0" fontId="0" fillId="0" borderId="4" xfId="0" applyBorder="1" applyAlignment="1">
      <alignment horizontal="center" vertical="center"/>
    </xf>
    <xf numFmtId="0" fontId="0" fillId="0" borderId="7"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6" fillId="2" borderId="3" xfId="0" applyFont="1" applyFill="1" applyBorder="1" applyAlignment="1">
      <alignment horizontal="left" vertical="center"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FFC7F9"/>
      <color rgb="FFFFC2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4"/>
  <sheetViews>
    <sheetView tabSelected="1" zoomScale="180" zoomScaleNormal="180" workbookViewId="0">
      <selection activeCell="D7" sqref="D7"/>
    </sheetView>
  </sheetViews>
  <sheetFormatPr defaultColWidth="11" defaultRowHeight="12.75"/>
  <cols>
    <col min="1" max="1" width="77.5703125" style="31" customWidth="1"/>
    <col min="2" max="2" width="13.140625" style="31" customWidth="1"/>
    <col min="3" max="3" width="18.5703125" style="31" customWidth="1"/>
    <col min="4" max="4" width="11" style="32"/>
    <col min="5" max="16384" width="11" style="31"/>
  </cols>
  <sheetData>
    <row r="1" spans="1:4" ht="18.75">
      <c r="A1" s="134" t="s">
        <v>41</v>
      </c>
      <c r="B1" s="135"/>
      <c r="C1" s="136"/>
      <c r="D1" s="31"/>
    </row>
    <row r="2" spans="1:4" ht="35.1" customHeight="1">
      <c r="A2" s="137" t="s">
        <v>130</v>
      </c>
      <c r="B2" s="138"/>
      <c r="C2" s="139"/>
    </row>
    <row r="3" spans="1:4" ht="137.1" customHeight="1">
      <c r="A3" s="140" t="s">
        <v>134</v>
      </c>
      <c r="B3" s="141"/>
      <c r="C3" s="142"/>
    </row>
    <row r="4" spans="1:4" ht="56.1" customHeight="1">
      <c r="A4" s="143" t="s">
        <v>131</v>
      </c>
      <c r="B4" s="144"/>
      <c r="C4" s="145"/>
    </row>
    <row r="5" spans="1:4" ht="99.95" customHeight="1">
      <c r="A5" s="149" t="s">
        <v>132</v>
      </c>
      <c r="B5" s="150"/>
      <c r="C5" s="151"/>
    </row>
    <row r="6" spans="1:4" ht="32.1" customHeight="1">
      <c r="A6" s="146" t="s">
        <v>129</v>
      </c>
      <c r="B6" s="147"/>
      <c r="C6" s="148"/>
    </row>
    <row r="7" spans="1:4" ht="71.099999999999994" customHeight="1">
      <c r="A7" s="140" t="s">
        <v>133</v>
      </c>
      <c r="B7" s="141"/>
      <c r="C7" s="142"/>
    </row>
    <row r="8" spans="1:4" ht="42.95" customHeight="1">
      <c r="A8" s="143" t="s">
        <v>135</v>
      </c>
      <c r="B8" s="144"/>
      <c r="C8" s="145"/>
    </row>
    <row r="9" spans="1:4" ht="114.95" customHeight="1">
      <c r="A9" s="155" t="s">
        <v>68</v>
      </c>
      <c r="B9" s="156"/>
      <c r="C9" s="157"/>
    </row>
    <row r="10" spans="1:4" ht="102" customHeight="1">
      <c r="A10" s="158" t="s">
        <v>69</v>
      </c>
      <c r="B10" s="159"/>
      <c r="C10" s="160"/>
    </row>
    <row r="11" spans="1:4" ht="48.95" customHeight="1">
      <c r="A11" s="143" t="s">
        <v>67</v>
      </c>
      <c r="B11" s="144"/>
      <c r="C11" s="145"/>
    </row>
    <row r="12" spans="1:4" customFormat="1" ht="84" customHeight="1">
      <c r="A12" s="143" t="s">
        <v>136</v>
      </c>
      <c r="B12" s="144"/>
      <c r="C12" s="145"/>
      <c r="D12" s="28"/>
    </row>
    <row r="13" spans="1:4" ht="69.95" customHeight="1">
      <c r="A13" s="143" t="s">
        <v>137</v>
      </c>
      <c r="B13" s="144"/>
      <c r="C13" s="145"/>
    </row>
    <row r="14" spans="1:4" s="34" customFormat="1">
      <c r="A14" s="126" t="s">
        <v>70</v>
      </c>
      <c r="B14" s="127"/>
      <c r="C14" s="52" t="s">
        <v>17</v>
      </c>
      <c r="D14" s="33"/>
    </row>
    <row r="15" spans="1:4">
      <c r="A15" s="125" t="s">
        <v>73</v>
      </c>
      <c r="B15" s="125"/>
      <c r="C15" s="53">
        <v>6</v>
      </c>
    </row>
    <row r="16" spans="1:4">
      <c r="A16" s="125" t="s">
        <v>18</v>
      </c>
      <c r="B16" s="125"/>
      <c r="C16" s="53">
        <v>32</v>
      </c>
    </row>
    <row r="17" spans="1:3">
      <c r="A17" s="125" t="s">
        <v>19</v>
      </c>
      <c r="B17" s="125"/>
      <c r="C17" s="53">
        <v>250</v>
      </c>
    </row>
    <row r="18" spans="1:3">
      <c r="A18" s="125" t="s">
        <v>20</v>
      </c>
      <c r="B18" s="125"/>
      <c r="C18" s="54">
        <v>1</v>
      </c>
    </row>
    <row r="19" spans="1:3">
      <c r="A19" s="125" t="s">
        <v>71</v>
      </c>
      <c r="B19" s="125"/>
      <c r="C19" s="55" t="s">
        <v>21</v>
      </c>
    </row>
    <row r="20" spans="1:3">
      <c r="A20" s="125" t="s">
        <v>72</v>
      </c>
      <c r="B20" s="125"/>
      <c r="C20" s="55" t="s">
        <v>22</v>
      </c>
    </row>
    <row r="21" spans="1:3" ht="75.95" customHeight="1">
      <c r="A21" s="128" t="s">
        <v>141</v>
      </c>
      <c r="B21" s="129"/>
      <c r="C21" s="130"/>
    </row>
    <row r="22" spans="1:3" ht="90" customHeight="1">
      <c r="A22" s="152" t="s">
        <v>139</v>
      </c>
      <c r="B22" s="153"/>
      <c r="C22" s="154"/>
    </row>
    <row r="23" spans="1:3" ht="13.5" thickBot="1">
      <c r="A23" s="122"/>
      <c r="B23" s="123"/>
      <c r="C23" s="124"/>
    </row>
    <row r="24" spans="1:3" ht="41.1" customHeight="1">
      <c r="A24" s="131" t="s">
        <v>87</v>
      </c>
      <c r="B24" s="132"/>
      <c r="C24" s="133"/>
    </row>
  </sheetData>
  <mergeCells count="23">
    <mergeCell ref="A21:C21"/>
    <mergeCell ref="A24:C24"/>
    <mergeCell ref="A1:C1"/>
    <mergeCell ref="A2:C2"/>
    <mergeCell ref="A3:C3"/>
    <mergeCell ref="A8:C8"/>
    <mergeCell ref="A13:C13"/>
    <mergeCell ref="A4:C4"/>
    <mergeCell ref="A6:C6"/>
    <mergeCell ref="A5:C5"/>
    <mergeCell ref="A7:C7"/>
    <mergeCell ref="A12:C12"/>
    <mergeCell ref="A22:C22"/>
    <mergeCell ref="A9:C9"/>
    <mergeCell ref="A10:C10"/>
    <mergeCell ref="A11:C11"/>
    <mergeCell ref="A20:B20"/>
    <mergeCell ref="A15:B15"/>
    <mergeCell ref="A16:B16"/>
    <mergeCell ref="A14:B14"/>
    <mergeCell ref="A17:B17"/>
    <mergeCell ref="A18:B18"/>
    <mergeCell ref="A19:B19"/>
  </mergeCells>
  <printOptions horizontalCentered="1"/>
  <pageMargins left="0.45" right="0.45" top="0.75" bottom="0.5" header="0.3" footer="0.3"/>
  <pageSetup scale="98" fitToHeight="2" orientation="portrait" verticalDpi="0" r:id="rId1"/>
  <headerFooter>
    <oddFooter>&amp;R&amp;"Times New Roman,Regular"&amp;K000000&amp;F,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4"/>
  <sheetViews>
    <sheetView zoomScale="130" zoomScaleNormal="130" zoomScaleSheetLayoutView="100" workbookViewId="0">
      <selection activeCell="E5" sqref="E5:G10"/>
    </sheetView>
  </sheetViews>
  <sheetFormatPr defaultColWidth="11" defaultRowHeight="12.75"/>
  <cols>
    <col min="1" max="1" width="71.42578125" style="56" customWidth="1"/>
    <col min="2" max="2" width="15" style="56" customWidth="1"/>
    <col min="3" max="3" width="12.85546875" style="56" customWidth="1"/>
    <col min="4" max="4" width="2.140625" style="58" customWidth="1"/>
    <col min="5" max="5" width="69.42578125" style="56" customWidth="1"/>
    <col min="6" max="6" width="14.42578125" style="56" customWidth="1"/>
    <col min="7" max="7" width="15.140625" style="56" customWidth="1"/>
    <col min="8" max="16384" width="11" style="56"/>
  </cols>
  <sheetData>
    <row r="1" spans="1:7" ht="36.950000000000003" customHeight="1">
      <c r="A1" s="161" t="s">
        <v>41</v>
      </c>
      <c r="B1" s="162"/>
      <c r="C1" s="162"/>
      <c r="D1" s="162"/>
      <c r="E1" s="162"/>
      <c r="F1" s="162"/>
      <c r="G1" s="162"/>
    </row>
    <row r="2" spans="1:7" s="57" customFormat="1" ht="11.25">
      <c r="A2" s="35"/>
      <c r="B2" s="36"/>
      <c r="C2" s="36"/>
    </row>
    <row r="3" spans="1:7" ht="18.75">
      <c r="A3" s="172" t="s">
        <v>16</v>
      </c>
      <c r="B3" s="173"/>
      <c r="C3" s="174"/>
      <c r="E3" s="197" t="s">
        <v>117</v>
      </c>
      <c r="F3" s="198"/>
      <c r="G3" s="199"/>
    </row>
    <row r="4" spans="1:7" ht="12.75" customHeight="1">
      <c r="A4" s="175" t="s">
        <v>47</v>
      </c>
      <c r="B4" s="175"/>
      <c r="C4" s="175"/>
      <c r="E4" s="175" t="s">
        <v>47</v>
      </c>
      <c r="F4" s="175"/>
      <c r="G4" s="175"/>
    </row>
    <row r="5" spans="1:7" ht="42.95" customHeight="1">
      <c r="A5" s="50" t="s">
        <v>122</v>
      </c>
      <c r="B5" s="38" t="s">
        <v>35</v>
      </c>
      <c r="C5" s="86" t="s">
        <v>48</v>
      </c>
      <c r="E5" s="178" t="s">
        <v>138</v>
      </c>
      <c r="F5" s="179"/>
      <c r="G5" s="180"/>
    </row>
    <row r="6" spans="1:7">
      <c r="A6" s="24" t="s">
        <v>44</v>
      </c>
      <c r="B6" s="20">
        <v>1000</v>
      </c>
      <c r="C6" s="59">
        <f>B6</f>
        <v>1000</v>
      </c>
      <c r="E6" s="178"/>
      <c r="F6" s="179"/>
      <c r="G6" s="180"/>
    </row>
    <row r="7" spans="1:7">
      <c r="A7" s="60" t="s">
        <v>43</v>
      </c>
      <c r="B7" s="112">
        <v>15.25</v>
      </c>
      <c r="C7" s="113">
        <f>B7</f>
        <v>15.25</v>
      </c>
      <c r="E7" s="178"/>
      <c r="F7" s="179"/>
      <c r="G7" s="180"/>
    </row>
    <row r="8" spans="1:7">
      <c r="A8" s="60" t="s">
        <v>0</v>
      </c>
      <c r="B8" s="61">
        <f>0.0034*B7^3 - 0.2117*B7^2 + 5.5166*B7 - 2.1787</f>
        <v>44.774334375000009</v>
      </c>
      <c r="C8" s="59">
        <f t="shared" ref="C8:C9" si="0">B8</f>
        <v>44.774334375000009</v>
      </c>
      <c r="E8" s="178"/>
      <c r="F8" s="179"/>
      <c r="G8" s="180"/>
    </row>
    <row r="9" spans="1:7">
      <c r="A9" s="60" t="s">
        <v>27</v>
      </c>
      <c r="B9" s="61">
        <f>(0.10743*B7^2)^1.12422*B8^0.93871</f>
        <v>1321.6632202343983</v>
      </c>
      <c r="C9" s="59">
        <f t="shared" si="0"/>
        <v>1321.6632202343983</v>
      </c>
      <c r="E9" s="178"/>
      <c r="F9" s="179"/>
      <c r="G9" s="180"/>
    </row>
    <row r="10" spans="1:7">
      <c r="A10" s="60" t="s">
        <v>74</v>
      </c>
      <c r="B10" s="62">
        <v>0</v>
      </c>
      <c r="C10" s="21">
        <v>750</v>
      </c>
      <c r="E10" s="178"/>
      <c r="F10" s="179"/>
      <c r="G10" s="180"/>
    </row>
    <row r="11" spans="1:7">
      <c r="A11" s="60" t="s">
        <v>1</v>
      </c>
      <c r="B11" s="63"/>
      <c r="C11" s="3">
        <f>C10/B6</f>
        <v>0.75</v>
      </c>
      <c r="E11" s="85" t="s">
        <v>123</v>
      </c>
      <c r="F11" s="38" t="s">
        <v>35</v>
      </c>
      <c r="G11" s="86" t="s">
        <v>48</v>
      </c>
    </row>
    <row r="12" spans="1:7">
      <c r="A12" s="60" t="s">
        <v>46</v>
      </c>
      <c r="B12" s="63"/>
      <c r="C12" s="2">
        <f>C10*B7</f>
        <v>11437.5</v>
      </c>
      <c r="E12" s="111" t="s">
        <v>90</v>
      </c>
      <c r="F12" s="22">
        <v>250</v>
      </c>
      <c r="G12" s="59">
        <f>F12</f>
        <v>250</v>
      </c>
    </row>
    <row r="13" spans="1:7" ht="15.75">
      <c r="A13" s="49" t="s">
        <v>60</v>
      </c>
      <c r="B13" s="64">
        <f>B6</f>
        <v>1000</v>
      </c>
      <c r="C13" s="2">
        <f>B6-C10</f>
        <v>250</v>
      </c>
      <c r="E13" s="111" t="s">
        <v>91</v>
      </c>
      <c r="F13" s="22">
        <v>750</v>
      </c>
      <c r="G13" s="59">
        <f t="shared" ref="G13:G15" si="1">F13</f>
        <v>750</v>
      </c>
    </row>
    <row r="14" spans="1:7">
      <c r="A14" s="60" t="s">
        <v>2</v>
      </c>
      <c r="B14" s="40">
        <f>B6*B7</f>
        <v>15250</v>
      </c>
      <c r="C14" s="4">
        <f>C13*C7</f>
        <v>3812.5</v>
      </c>
      <c r="E14" s="111" t="s">
        <v>88</v>
      </c>
      <c r="F14" s="22">
        <v>10</v>
      </c>
      <c r="G14" s="59">
        <f t="shared" si="1"/>
        <v>10</v>
      </c>
    </row>
    <row r="15" spans="1:7" ht="17.100000000000001" customHeight="1">
      <c r="A15" s="60" t="s">
        <v>49</v>
      </c>
      <c r="B15" s="61">
        <f>B6*B9/2000</f>
        <v>660.83161011719915</v>
      </c>
      <c r="C15" s="59">
        <f>C13*C9/2000</f>
        <v>165.20790252929979</v>
      </c>
      <c r="E15" s="111" t="s">
        <v>89</v>
      </c>
      <c r="F15" s="22">
        <v>17</v>
      </c>
      <c r="G15" s="59">
        <f t="shared" si="1"/>
        <v>17</v>
      </c>
    </row>
    <row r="16" spans="1:7" s="67" customFormat="1" ht="12.95" customHeight="1">
      <c r="A16" s="65" t="s">
        <v>64</v>
      </c>
      <c r="B16" s="44">
        <v>305</v>
      </c>
      <c r="C16" s="44">
        <f>B16</f>
        <v>305</v>
      </c>
      <c r="D16" s="66"/>
      <c r="E16" s="111" t="s">
        <v>1</v>
      </c>
      <c r="F16" s="100">
        <v>0</v>
      </c>
      <c r="G16" s="101">
        <f>F13/(F12+F13)</f>
        <v>0.75</v>
      </c>
    </row>
    <row r="17" spans="1:7" s="84" customFormat="1" ht="12.95" customHeight="1">
      <c r="A17" s="81"/>
      <c r="B17" s="82"/>
      <c r="C17" s="83"/>
    </row>
    <row r="18" spans="1:7" ht="15.75">
      <c r="A18" s="51" t="s">
        <v>42</v>
      </c>
      <c r="B18" s="42" t="s">
        <v>39</v>
      </c>
      <c r="C18" s="1" t="s">
        <v>40</v>
      </c>
      <c r="E18" s="98" t="s">
        <v>42</v>
      </c>
      <c r="F18" s="42" t="s">
        <v>39</v>
      </c>
      <c r="G18" s="1" t="s">
        <v>40</v>
      </c>
    </row>
    <row r="19" spans="1:7">
      <c r="A19" s="39" t="s">
        <v>77</v>
      </c>
      <c r="B19" s="68"/>
      <c r="C19" s="69"/>
      <c r="E19" s="97" t="s">
        <v>77</v>
      </c>
      <c r="F19" s="102"/>
      <c r="G19" s="103"/>
    </row>
    <row r="20" spans="1:7" s="67" customFormat="1">
      <c r="A20" s="65" t="s">
        <v>63</v>
      </c>
      <c r="B20" s="48">
        <f xml:space="preserve"> 0.0171*B7^2 - 0.9838*B7 + 53.379</f>
        <v>42.352868749999999</v>
      </c>
      <c r="C20" s="48">
        <f>B20</f>
        <v>42.352868749999999</v>
      </c>
      <c r="D20" s="66"/>
      <c r="E20" s="181" t="s">
        <v>93</v>
      </c>
      <c r="F20" s="183">
        <v>189000</v>
      </c>
      <c r="G20" s="185">
        <f>F20</f>
        <v>189000</v>
      </c>
    </row>
    <row r="21" spans="1:7" s="67" customFormat="1">
      <c r="A21" s="65" t="s">
        <v>6</v>
      </c>
      <c r="B21" s="44">
        <f>B20*B14</f>
        <v>645881.24843749998</v>
      </c>
      <c r="C21" s="44">
        <f>B21</f>
        <v>645881.24843749998</v>
      </c>
      <c r="D21" s="66"/>
      <c r="E21" s="182"/>
      <c r="F21" s="184"/>
      <c r="G21" s="186"/>
    </row>
    <row r="22" spans="1:7" s="67" customFormat="1">
      <c r="A22" s="65" t="s">
        <v>5</v>
      </c>
      <c r="B22" s="44">
        <f>B16*B6</f>
        <v>305000</v>
      </c>
      <c r="C22" s="44">
        <f t="shared" ref="C22:C23" si="2">B22</f>
        <v>305000</v>
      </c>
      <c r="D22" s="66"/>
      <c r="E22" s="76" t="s">
        <v>94</v>
      </c>
      <c r="F22" s="91">
        <v>759000</v>
      </c>
      <c r="G22" s="90">
        <f t="shared" ref="G22:G30" si="3">F22</f>
        <v>759000</v>
      </c>
    </row>
    <row r="23" spans="1:7">
      <c r="A23" s="70" t="s">
        <v>11</v>
      </c>
      <c r="B23" s="43">
        <f>ROUND(B21+B22, -3)</f>
        <v>951000</v>
      </c>
      <c r="C23" s="17">
        <f t="shared" si="2"/>
        <v>951000</v>
      </c>
      <c r="E23" s="70" t="s">
        <v>11</v>
      </c>
      <c r="F23" s="43">
        <f>F20+F22</f>
        <v>948000</v>
      </c>
      <c r="G23" s="17">
        <f t="shared" si="3"/>
        <v>948000</v>
      </c>
    </row>
    <row r="24" spans="1:7" s="67" customFormat="1">
      <c r="A24" s="65" t="s">
        <v>80</v>
      </c>
      <c r="B24" s="48">
        <f xml:space="preserve"> 0.0001*B7^3 - 0.017*B7^2 + 0.5554*B7 + 40.702</f>
        <v>45.572945312499996</v>
      </c>
      <c r="C24" s="48">
        <f>B24</f>
        <v>45.572945312499996</v>
      </c>
      <c r="D24" s="66"/>
      <c r="E24" s="65" t="s">
        <v>97</v>
      </c>
      <c r="F24" s="91">
        <v>145000</v>
      </c>
      <c r="G24" s="92">
        <v>325000</v>
      </c>
    </row>
    <row r="25" spans="1:7" s="67" customFormat="1">
      <c r="A25" s="65" t="s">
        <v>76</v>
      </c>
      <c r="B25" s="44">
        <f>B24*B14</f>
        <v>694987.416015625</v>
      </c>
      <c r="C25" s="44">
        <f>B25</f>
        <v>694987.416015625</v>
      </c>
      <c r="D25" s="66"/>
      <c r="E25" s="181" t="s">
        <v>98</v>
      </c>
      <c r="F25" s="183">
        <v>682000</v>
      </c>
      <c r="G25" s="187">
        <v>1224000</v>
      </c>
    </row>
    <row r="26" spans="1:7" s="67" customFormat="1">
      <c r="A26" s="65" t="s">
        <v>75</v>
      </c>
      <c r="B26" s="44">
        <f>131.689*B6</f>
        <v>131689</v>
      </c>
      <c r="C26" s="44">
        <f>854.11*B6</f>
        <v>854110</v>
      </c>
      <c r="D26" s="66"/>
      <c r="E26" s="182"/>
      <c r="F26" s="184"/>
      <c r="G26" s="188"/>
    </row>
    <row r="27" spans="1:7" ht="15.75">
      <c r="A27" s="70" t="s">
        <v>66</v>
      </c>
      <c r="B27" s="43">
        <f>ROUND(B25+B26, -3)</f>
        <v>827000</v>
      </c>
      <c r="C27" s="17">
        <f>ROUND(C25+C26, -3)</f>
        <v>1549000</v>
      </c>
      <c r="E27" s="70" t="s">
        <v>66</v>
      </c>
      <c r="F27" s="43">
        <f>F24+F25</f>
        <v>827000</v>
      </c>
      <c r="G27" s="17">
        <f>G24+G25</f>
        <v>1549000</v>
      </c>
    </row>
    <row r="28" spans="1:7" s="57" customFormat="1">
      <c r="A28" s="35"/>
      <c r="B28" s="41"/>
      <c r="C28" s="36"/>
      <c r="E28" s="93"/>
      <c r="F28" s="89"/>
      <c r="G28" s="89"/>
    </row>
    <row r="29" spans="1:7">
      <c r="A29" s="37" t="s">
        <v>53</v>
      </c>
      <c r="B29" s="44"/>
      <c r="C29" s="5"/>
      <c r="E29" s="72" t="s">
        <v>48</v>
      </c>
      <c r="F29" s="104"/>
      <c r="G29" s="104"/>
    </row>
    <row r="30" spans="1:7">
      <c r="A30" s="71" t="s">
        <v>4</v>
      </c>
      <c r="B30" s="48">
        <f>0.0094*B7^2 - 0.5346*B7 + 28.556</f>
        <v>22.589437500000003</v>
      </c>
      <c r="C30" s="48">
        <f xml:space="preserve"> 0.0329*B7^2 - 1.8283*B7 + 63.183</f>
        <v>42.952731249999999</v>
      </c>
      <c r="E30" s="76" t="s">
        <v>92</v>
      </c>
      <c r="F30" s="90">
        <f>F20</f>
        <v>189000</v>
      </c>
      <c r="G30" s="90">
        <f t="shared" si="3"/>
        <v>189000</v>
      </c>
    </row>
    <row r="31" spans="1:7">
      <c r="A31" s="71" t="s">
        <v>3</v>
      </c>
      <c r="B31" s="44">
        <f>B30*C$12</f>
        <v>258366.69140625003</v>
      </c>
      <c r="C31" s="44">
        <f>C30*C12</f>
        <v>491271.86367187498</v>
      </c>
      <c r="E31" s="181" t="s">
        <v>95</v>
      </c>
      <c r="F31" s="190">
        <v>283000</v>
      </c>
      <c r="G31" s="190">
        <v>531000</v>
      </c>
    </row>
    <row r="32" spans="1:7">
      <c r="A32" s="65" t="s">
        <v>7</v>
      </c>
      <c r="B32" s="48">
        <f xml:space="preserve"> 0.0165*B7^2 - 0.9435*B7+ 50.176</f>
        <v>39.624906250000002</v>
      </c>
      <c r="C32" s="48">
        <f>B32</f>
        <v>39.624906250000002</v>
      </c>
      <c r="E32" s="189"/>
      <c r="F32" s="191"/>
      <c r="G32" s="191"/>
    </row>
    <row r="33" spans="1:7">
      <c r="A33" s="65" t="s">
        <v>6</v>
      </c>
      <c r="B33" s="44">
        <f>B32*C14</f>
        <v>151069.955078125</v>
      </c>
      <c r="C33" s="44">
        <f>B33</f>
        <v>151069.955078125</v>
      </c>
      <c r="E33" s="189"/>
      <c r="F33" s="191"/>
      <c r="G33" s="191"/>
    </row>
    <row r="34" spans="1:7">
      <c r="A34" s="65" t="s">
        <v>65</v>
      </c>
      <c r="B34" s="44">
        <f>B16*C13</f>
        <v>76250</v>
      </c>
      <c r="C34" s="44">
        <f>B34</f>
        <v>76250</v>
      </c>
      <c r="E34" s="182"/>
      <c r="F34" s="192"/>
      <c r="G34" s="192" t="e">
        <f>#REF!+G31</f>
        <v>#REF!</v>
      </c>
    </row>
    <row r="35" spans="1:7">
      <c r="A35" s="72" t="s">
        <v>50</v>
      </c>
      <c r="B35" s="45">
        <f>ROUND(B31+B33+B34, -3)</f>
        <v>486000</v>
      </c>
      <c r="C35" s="18">
        <f>ROUND(C31+C34+C33, -3)</f>
        <v>719000</v>
      </c>
      <c r="E35" s="72" t="s">
        <v>96</v>
      </c>
      <c r="F35" s="95">
        <f>ROUND(F30+F31, -3)</f>
        <v>472000</v>
      </c>
      <c r="G35" s="95">
        <f>ROUND(G30+G31, -3)</f>
        <v>720000</v>
      </c>
    </row>
    <row r="36" spans="1:7">
      <c r="A36" s="72" t="s">
        <v>51</v>
      </c>
      <c r="B36" s="46">
        <f>(B35-B23)/B23</f>
        <v>-0.48895899053627762</v>
      </c>
      <c r="C36" s="19">
        <f>(C35-C23)/C23</f>
        <v>-0.24395373291272346</v>
      </c>
      <c r="E36" s="72" t="s">
        <v>51</v>
      </c>
      <c r="F36" s="96">
        <f>(F35-F23)/F23</f>
        <v>-0.50210970464135019</v>
      </c>
      <c r="G36" s="96">
        <f>(G35-G23)/G23</f>
        <v>-0.24050632911392406</v>
      </c>
    </row>
    <row r="37" spans="1:7" ht="14.1" customHeight="1">
      <c r="A37" s="73" t="s">
        <v>78</v>
      </c>
      <c r="B37" s="44">
        <f xml:space="preserve"> -0.3845*B7^2 + 114.75*B7+ 31.608</f>
        <v>1692.1252187499999</v>
      </c>
      <c r="C37" s="44">
        <f xml:space="preserve"> -0.8726*B7^2 + 220.29*B7 + 691.33</f>
        <v>3847.8184624999994</v>
      </c>
      <c r="E37" s="163" t="s">
        <v>97</v>
      </c>
      <c r="F37" s="166">
        <f>F24</f>
        <v>145000</v>
      </c>
      <c r="G37" s="166">
        <f>G24</f>
        <v>325000</v>
      </c>
    </row>
    <row r="38" spans="1:7">
      <c r="A38" s="71" t="s">
        <v>81</v>
      </c>
      <c r="B38" s="44">
        <f>B37*C10</f>
        <v>1269093.9140625</v>
      </c>
      <c r="C38" s="44">
        <f>C37*C10</f>
        <v>2885863.8468749998</v>
      </c>
      <c r="E38" s="165"/>
      <c r="F38" s="167"/>
      <c r="G38" s="167"/>
    </row>
    <row r="39" spans="1:7">
      <c r="A39" s="74" t="s">
        <v>79</v>
      </c>
      <c r="B39" s="44">
        <f xml:space="preserve"> -0.1512*B7^2 + 51.536*B7- 54.405</f>
        <v>696.35554999999999</v>
      </c>
      <c r="C39" s="44">
        <f xml:space="preserve"> -0.1512*B7^2 + 51.536*B7- 54.405</f>
        <v>696.35554999999999</v>
      </c>
      <c r="E39" s="163" t="s">
        <v>98</v>
      </c>
      <c r="F39" s="168">
        <v>1403000</v>
      </c>
      <c r="G39" s="171">
        <v>3138000</v>
      </c>
    </row>
    <row r="40" spans="1:7">
      <c r="A40" s="71" t="s">
        <v>76</v>
      </c>
      <c r="B40" s="44">
        <f>B39*C13</f>
        <v>174088.88750000001</v>
      </c>
      <c r="C40" s="44">
        <f>C39*C13</f>
        <v>174088.88750000001</v>
      </c>
      <c r="E40" s="164"/>
      <c r="F40" s="169"/>
      <c r="G40" s="171"/>
    </row>
    <row r="41" spans="1:7">
      <c r="A41" s="73" t="s">
        <v>82</v>
      </c>
      <c r="B41" s="44">
        <f>131.69*C13</f>
        <v>32922.5</v>
      </c>
      <c r="C41" s="44">
        <f>854.11*C13</f>
        <v>213527.5</v>
      </c>
      <c r="E41" s="165"/>
      <c r="F41" s="170"/>
      <c r="G41" s="171"/>
    </row>
    <row r="42" spans="1:7">
      <c r="A42" s="72" t="s">
        <v>61</v>
      </c>
      <c r="B42" s="47">
        <f>ROUND(B38+B40+B41, -3)</f>
        <v>1476000</v>
      </c>
      <c r="C42" s="18">
        <f>ROUND(C38+C40+C41, -3)</f>
        <v>3273000</v>
      </c>
      <c r="E42" s="72" t="s">
        <v>61</v>
      </c>
      <c r="F42" s="95">
        <f>SUM(F37:F41)</f>
        <v>1548000</v>
      </c>
      <c r="G42" s="95">
        <f>SUM(G37:G41)</f>
        <v>3463000</v>
      </c>
    </row>
    <row r="43" spans="1:7">
      <c r="A43" s="72" t="s">
        <v>62</v>
      </c>
      <c r="B43" s="46">
        <f>(B42-B27)/B27</f>
        <v>0.78476420798065294</v>
      </c>
      <c r="C43" s="19">
        <f>(C42-C27)/C27</f>
        <v>1.1129761136216914</v>
      </c>
      <c r="E43" s="87" t="s">
        <v>62</v>
      </c>
      <c r="F43" s="96">
        <f>(F42-F27)/F27</f>
        <v>0.871825876662636</v>
      </c>
      <c r="G43" s="96">
        <f>(G42-G27)/G27</f>
        <v>1.2356358941252421</v>
      </c>
    </row>
    <row r="44" spans="1:7" s="119" customFormat="1">
      <c r="A44" s="36"/>
      <c r="B44" s="36"/>
      <c r="C44" s="36"/>
      <c r="E44" s="118"/>
      <c r="F44" s="118"/>
      <c r="G44" s="118"/>
    </row>
    <row r="45" spans="1:7" ht="15.75">
      <c r="A45" s="176" t="s">
        <v>83</v>
      </c>
      <c r="B45" s="176"/>
      <c r="C45" s="176"/>
      <c r="D45" s="75"/>
      <c r="E45" s="204" t="s">
        <v>140</v>
      </c>
      <c r="F45" s="204"/>
      <c r="G45" s="204"/>
    </row>
    <row r="46" spans="1:7">
      <c r="A46" s="177" t="s">
        <v>45</v>
      </c>
      <c r="B46" s="177"/>
      <c r="C46" s="25">
        <v>0.71</v>
      </c>
      <c r="D46" s="75"/>
      <c r="E46" s="110" t="s">
        <v>113</v>
      </c>
      <c r="F46" s="99" t="s">
        <v>99</v>
      </c>
      <c r="G46" s="99" t="s">
        <v>100</v>
      </c>
    </row>
    <row r="47" spans="1:7">
      <c r="A47" s="193" t="s">
        <v>8</v>
      </c>
      <c r="B47" s="193"/>
      <c r="C47" s="26">
        <f>B6*C46</f>
        <v>710</v>
      </c>
      <c r="D47" s="118"/>
      <c r="E47" s="202" t="s">
        <v>118</v>
      </c>
      <c r="F47" s="205"/>
      <c r="G47" s="207"/>
    </row>
    <row r="48" spans="1:7">
      <c r="A48" s="193" t="s">
        <v>9</v>
      </c>
      <c r="B48" s="193"/>
      <c r="C48" s="26">
        <f>B15*C46</f>
        <v>469.19044318321136</v>
      </c>
      <c r="D48" s="118"/>
      <c r="E48" s="202"/>
      <c r="F48" s="206"/>
      <c r="G48" s="208"/>
    </row>
    <row r="49" spans="1:7">
      <c r="A49" s="193" t="s">
        <v>84</v>
      </c>
      <c r="B49" s="193"/>
      <c r="C49" s="26">
        <f>C13*C46</f>
        <v>177.5</v>
      </c>
      <c r="D49" s="75"/>
      <c r="E49" s="203" t="s">
        <v>119</v>
      </c>
      <c r="F49" s="200" t="s">
        <v>101</v>
      </c>
      <c r="G49" s="201" t="s">
        <v>102</v>
      </c>
    </row>
    <row r="50" spans="1:7">
      <c r="A50" s="193" t="s">
        <v>52</v>
      </c>
      <c r="B50" s="193"/>
      <c r="C50" s="26">
        <f>C49*C9/2000</f>
        <v>117.29761079580284</v>
      </c>
      <c r="D50" s="75"/>
      <c r="E50" s="203"/>
      <c r="F50" s="200"/>
      <c r="G50" s="201"/>
    </row>
    <row r="51" spans="1:7">
      <c r="A51" s="193" t="s">
        <v>10</v>
      </c>
      <c r="B51" s="193"/>
      <c r="C51" s="27">
        <f>(C50-C48)/C48</f>
        <v>-0.75</v>
      </c>
      <c r="D51" s="75"/>
      <c r="E51" s="114" t="s">
        <v>108</v>
      </c>
      <c r="F51" s="107" t="s">
        <v>109</v>
      </c>
      <c r="G51" s="94" t="s">
        <v>104</v>
      </c>
    </row>
    <row r="52" spans="1:7" s="57" customFormat="1">
      <c r="A52" s="35"/>
      <c r="B52" s="36"/>
      <c r="C52" s="36"/>
      <c r="D52" s="119"/>
      <c r="E52" s="110" t="s">
        <v>114</v>
      </c>
      <c r="F52" s="99" t="s">
        <v>99</v>
      </c>
      <c r="G52" s="99" t="s">
        <v>100</v>
      </c>
    </row>
    <row r="53" spans="1:7" ht="30" customHeight="1">
      <c r="A53" s="1" t="s">
        <v>38</v>
      </c>
      <c r="B53" s="1" t="s">
        <v>30</v>
      </c>
      <c r="C53" s="1" t="s">
        <v>31</v>
      </c>
      <c r="D53" s="75"/>
      <c r="E53" s="115" t="s">
        <v>121</v>
      </c>
      <c r="F53" s="114"/>
      <c r="G53" s="114"/>
    </row>
    <row r="54" spans="1:7" ht="26.1" customHeight="1">
      <c r="A54" s="16" t="s">
        <v>57</v>
      </c>
      <c r="B54" s="23">
        <f>B23-B35</f>
        <v>465000</v>
      </c>
      <c r="C54" s="7">
        <f>B36</f>
        <v>-0.48895899053627762</v>
      </c>
      <c r="D54" s="29"/>
      <c r="E54" s="114" t="s">
        <v>111</v>
      </c>
      <c r="F54" s="107" t="s">
        <v>101</v>
      </c>
      <c r="G54" s="94" t="s">
        <v>103</v>
      </c>
    </row>
    <row r="55" spans="1:7" ht="25.5">
      <c r="A55" s="16" t="s">
        <v>58</v>
      </c>
      <c r="B55" s="15">
        <f>C23-C35</f>
        <v>232000</v>
      </c>
      <c r="C55" s="7">
        <f>C36</f>
        <v>-0.24395373291272346</v>
      </c>
      <c r="D55" s="29"/>
      <c r="E55" s="115" t="s">
        <v>112</v>
      </c>
      <c r="F55" s="107" t="s">
        <v>109</v>
      </c>
      <c r="G55" s="94" t="s">
        <v>105</v>
      </c>
    </row>
    <row r="56" spans="1:7" ht="44.1" customHeight="1">
      <c r="A56" s="16" t="s">
        <v>55</v>
      </c>
      <c r="B56" s="30">
        <f>B85</f>
        <v>3.4924089748757221</v>
      </c>
      <c r="C56" s="30">
        <f>C85</f>
        <v>2.7947709096720841</v>
      </c>
      <c r="D56" s="29"/>
      <c r="E56" s="114" t="s">
        <v>115</v>
      </c>
      <c r="F56" s="107" t="s">
        <v>124</v>
      </c>
      <c r="G56" s="94" t="s">
        <v>110</v>
      </c>
    </row>
    <row r="57" spans="1:7" ht="36">
      <c r="A57" s="16" t="s">
        <v>56</v>
      </c>
      <c r="B57" s="8">
        <f>C51</f>
        <v>-0.75</v>
      </c>
      <c r="C57" s="8"/>
      <c r="D57" s="29"/>
      <c r="E57" s="109" t="s">
        <v>116</v>
      </c>
      <c r="F57" s="108" t="s">
        <v>106</v>
      </c>
      <c r="G57" s="94" t="s">
        <v>107</v>
      </c>
    </row>
    <row r="58" spans="1:7" s="57" customFormat="1">
      <c r="A58" s="35"/>
      <c r="B58" s="36"/>
      <c r="C58" s="36"/>
      <c r="D58" s="119"/>
      <c r="E58" s="118"/>
      <c r="F58" s="118"/>
      <c r="G58" s="120"/>
    </row>
    <row r="59" spans="1:7" ht="24">
      <c r="A59" s="172" t="s">
        <v>25</v>
      </c>
      <c r="B59" s="173"/>
      <c r="C59" s="174"/>
      <c r="D59" s="75"/>
      <c r="E59" s="16" t="s">
        <v>57</v>
      </c>
      <c r="F59" s="106">
        <f>F23-F35</f>
        <v>476000</v>
      </c>
      <c r="G59" s="105">
        <f>F36</f>
        <v>-0.50210970464135019</v>
      </c>
    </row>
    <row r="60" spans="1:7" ht="24">
      <c r="A60" s="194" t="s">
        <v>54</v>
      </c>
      <c r="B60" s="194"/>
      <c r="C60" s="22">
        <v>300</v>
      </c>
      <c r="D60" s="75"/>
      <c r="E60" s="16" t="s">
        <v>58</v>
      </c>
      <c r="F60" s="15">
        <f>G23-G35</f>
        <v>228000</v>
      </c>
      <c r="G60" s="105">
        <f>G36</f>
        <v>-0.24050632911392406</v>
      </c>
    </row>
    <row r="61" spans="1:7" ht="36">
      <c r="A61" s="194" t="s">
        <v>12</v>
      </c>
      <c r="B61" s="194"/>
      <c r="C61" s="26">
        <f>C60*B9*0.81/2000</f>
        <v>160.58208125847938</v>
      </c>
      <c r="D61" s="75"/>
      <c r="E61" s="16" t="s">
        <v>55</v>
      </c>
      <c r="F61" s="30">
        <f>F85</f>
        <v>3.7595146844834302</v>
      </c>
      <c r="G61" s="30">
        <f>G85</f>
        <v>2.9435872605982354</v>
      </c>
    </row>
    <row r="62" spans="1:7" ht="51" customHeight="1">
      <c r="A62" s="194" t="s">
        <v>15</v>
      </c>
      <c r="B62" s="194"/>
      <c r="C62" s="26">
        <f>ROUND(C61*2000*(4088/2000), -3)</f>
        <v>656000</v>
      </c>
      <c r="D62" s="75"/>
      <c r="E62" s="16" t="s">
        <v>56</v>
      </c>
      <c r="F62" s="8">
        <f>-G16</f>
        <v>-0.75</v>
      </c>
      <c r="G62" s="8"/>
    </row>
    <row r="63" spans="1:7" ht="14.25">
      <c r="A63" s="194" t="s">
        <v>59</v>
      </c>
      <c r="B63" s="194"/>
      <c r="C63" s="26">
        <f>ROUND(C61*23.6,-2)</f>
        <v>3800</v>
      </c>
      <c r="D63" s="75"/>
      <c r="E63" s="9"/>
      <c r="F63" s="9"/>
      <c r="G63" s="120"/>
    </row>
    <row r="64" spans="1:7">
      <c r="A64" s="194" t="s">
        <v>14</v>
      </c>
      <c r="B64" s="194"/>
      <c r="C64" s="26">
        <f>ROUND(C61*149,-2)</f>
        <v>23900</v>
      </c>
      <c r="D64" s="75"/>
      <c r="E64" s="9"/>
      <c r="F64" s="9"/>
      <c r="G64" s="120"/>
    </row>
    <row r="65" spans="1:7" ht="14.25">
      <c r="A65" s="194" t="s">
        <v>28</v>
      </c>
      <c r="B65" s="194"/>
      <c r="C65" s="26">
        <f>ROUND(C61*0.4,-1)</f>
        <v>60</v>
      </c>
      <c r="D65" s="75"/>
      <c r="E65" s="9"/>
      <c r="F65" s="9"/>
      <c r="G65" s="120"/>
    </row>
    <row r="66" spans="1:7">
      <c r="A66" s="194" t="s">
        <v>26</v>
      </c>
      <c r="B66" s="194"/>
      <c r="C66" s="26">
        <f>ROUND(C61*18.9,-2)</f>
        <v>3000</v>
      </c>
      <c r="D66" s="75"/>
      <c r="E66" s="119"/>
      <c r="F66" s="119"/>
      <c r="G66" s="121"/>
    </row>
    <row r="67" spans="1:7" ht="14.25">
      <c r="A67" s="194" t="s">
        <v>29</v>
      </c>
      <c r="B67" s="194"/>
      <c r="C67" s="26">
        <f>ROUND(C61*2.6,-2)</f>
        <v>400</v>
      </c>
      <c r="D67" s="75"/>
      <c r="E67" s="118"/>
      <c r="F67" s="118"/>
      <c r="G67" s="120"/>
    </row>
    <row r="68" spans="1:7" ht="15.75">
      <c r="A68" s="195" t="s">
        <v>85</v>
      </c>
      <c r="B68" s="195"/>
      <c r="C68" s="26">
        <f>C61/4.17</f>
        <v>38.508892388124551</v>
      </c>
      <c r="D68" s="75"/>
      <c r="E68" s="118"/>
      <c r="F68" s="118"/>
      <c r="G68" s="120"/>
    </row>
    <row r="69" spans="1:7" ht="15.75">
      <c r="A69" s="194" t="s">
        <v>86</v>
      </c>
      <c r="B69" s="194"/>
      <c r="C69" s="26">
        <f>ROUND((C61/32.5)*2000,-2)</f>
        <v>9900</v>
      </c>
      <c r="D69" s="75"/>
      <c r="E69" s="118"/>
      <c r="F69" s="118"/>
      <c r="G69" s="120"/>
    </row>
    <row r="70" spans="1:7" s="78" customFormat="1">
      <c r="A70" s="77"/>
      <c r="B70" s="6"/>
      <c r="D70" s="79"/>
      <c r="E70" s="118"/>
      <c r="F70" s="118"/>
      <c r="G70" s="120"/>
    </row>
    <row r="71" spans="1:7" ht="12.95" customHeight="1">
      <c r="A71" s="209" t="s">
        <v>13</v>
      </c>
      <c r="B71" s="209"/>
      <c r="C71" s="209"/>
      <c r="D71" s="209"/>
      <c r="E71" s="209"/>
      <c r="F71" s="209"/>
      <c r="G71" s="209"/>
    </row>
    <row r="72" spans="1:7" ht="36.950000000000003" customHeight="1">
      <c r="A72" s="196" t="s">
        <v>125</v>
      </c>
      <c r="B72" s="196"/>
      <c r="C72" s="196"/>
      <c r="D72" s="196"/>
      <c r="E72" s="196"/>
      <c r="F72" s="196"/>
      <c r="G72" s="196"/>
    </row>
    <row r="73" spans="1:7" s="88" customFormat="1">
      <c r="A73" s="196" t="s">
        <v>120</v>
      </c>
      <c r="B73" s="196"/>
      <c r="C73" s="196"/>
      <c r="D73" s="196"/>
      <c r="E73" s="196"/>
      <c r="F73" s="196"/>
      <c r="G73" s="196"/>
    </row>
    <row r="74" spans="1:7" s="88" customFormat="1" ht="32.1" customHeight="1">
      <c r="A74" s="196" t="s">
        <v>23</v>
      </c>
      <c r="B74" s="196"/>
      <c r="C74" s="196"/>
      <c r="D74" s="196"/>
      <c r="E74" s="196"/>
      <c r="F74" s="196"/>
      <c r="G74" s="196"/>
    </row>
    <row r="75" spans="1:7" s="88" customFormat="1" ht="36.950000000000003" customHeight="1">
      <c r="A75" s="196" t="s">
        <v>24</v>
      </c>
      <c r="B75" s="196"/>
      <c r="C75" s="196"/>
      <c r="D75" s="196"/>
      <c r="E75" s="196"/>
      <c r="F75" s="196"/>
      <c r="G75" s="196"/>
    </row>
    <row r="76" spans="1:7" s="88" customFormat="1" ht="42" customHeight="1">
      <c r="A76" s="196" t="s">
        <v>128</v>
      </c>
      <c r="B76" s="196"/>
      <c r="C76" s="196"/>
      <c r="D76" s="196"/>
      <c r="E76" s="196"/>
      <c r="F76" s="196"/>
      <c r="G76" s="196"/>
    </row>
    <row r="77" spans="1:7" s="118" customFormat="1">
      <c r="A77" s="150"/>
      <c r="B77" s="150"/>
      <c r="C77" s="150"/>
      <c r="D77" s="150"/>
      <c r="E77" s="150"/>
      <c r="F77" s="150"/>
      <c r="G77" s="150"/>
    </row>
    <row r="78" spans="1:7" s="58" customFormat="1" hidden="1">
      <c r="A78" s="117" t="s">
        <v>126</v>
      </c>
      <c r="B78" s="117" t="s">
        <v>32</v>
      </c>
      <c r="C78" s="117" t="s">
        <v>33</v>
      </c>
      <c r="E78" s="117" t="s">
        <v>127</v>
      </c>
      <c r="F78" s="117" t="s">
        <v>32</v>
      </c>
      <c r="G78" s="117" t="s">
        <v>33</v>
      </c>
    </row>
    <row r="79" spans="1:7" s="58" customFormat="1" hidden="1">
      <c r="A79" s="10" t="s">
        <v>34</v>
      </c>
      <c r="B79" s="10"/>
      <c r="C79" s="10"/>
      <c r="E79" s="116" t="s">
        <v>34</v>
      </c>
      <c r="F79" s="116"/>
      <c r="G79" s="116"/>
    </row>
    <row r="80" spans="1:7" s="58" customFormat="1" hidden="1">
      <c r="A80" s="80" t="s">
        <v>35</v>
      </c>
      <c r="B80" s="11">
        <f>B27</f>
        <v>827000</v>
      </c>
      <c r="C80" s="11">
        <f>C27</f>
        <v>1549000</v>
      </c>
      <c r="E80" s="80" t="s">
        <v>35</v>
      </c>
      <c r="F80" s="11">
        <f>F27</f>
        <v>827000</v>
      </c>
      <c r="G80" s="11">
        <f>G27</f>
        <v>1549000</v>
      </c>
    </row>
    <row r="81" spans="1:7" s="58" customFormat="1" hidden="1">
      <c r="A81" s="80" t="s">
        <v>48</v>
      </c>
      <c r="B81" s="11">
        <f>B42</f>
        <v>1476000</v>
      </c>
      <c r="C81" s="11">
        <f>C42</f>
        <v>3273000</v>
      </c>
      <c r="E81" s="80" t="s">
        <v>48</v>
      </c>
      <c r="F81" s="11">
        <f>F42</f>
        <v>1548000</v>
      </c>
      <c r="G81" s="11">
        <f>G42</f>
        <v>3463000</v>
      </c>
    </row>
    <row r="82" spans="1:7" s="58" customFormat="1" hidden="1">
      <c r="A82" s="10" t="s">
        <v>36</v>
      </c>
      <c r="B82" s="10"/>
      <c r="C82" s="10"/>
      <c r="E82" s="10" t="s">
        <v>36</v>
      </c>
      <c r="F82" s="10"/>
      <c r="G82" s="10"/>
    </row>
    <row r="83" spans="1:7" s="58" customFormat="1" hidden="1">
      <c r="A83" s="80" t="s">
        <v>35</v>
      </c>
      <c r="B83" s="12">
        <f>B80/B23</f>
        <v>0.86961093585699267</v>
      </c>
      <c r="C83" s="12">
        <f>C80/C23</f>
        <v>1.6288117770767614</v>
      </c>
      <c r="E83" s="80" t="s">
        <v>35</v>
      </c>
      <c r="F83" s="12">
        <f>F80/F23</f>
        <v>0.87236286919831219</v>
      </c>
      <c r="G83" s="12">
        <f>G80/G23</f>
        <v>1.6339662447257384</v>
      </c>
    </row>
    <row r="84" spans="1:7" s="58" customFormat="1" hidden="1">
      <c r="A84" s="80" t="s">
        <v>48</v>
      </c>
      <c r="B84" s="12">
        <f>B81/B35</f>
        <v>3.0370370370370372</v>
      </c>
      <c r="C84" s="12">
        <f>C81/C35</f>
        <v>4.552155771905424</v>
      </c>
      <c r="E84" s="80" t="s">
        <v>48</v>
      </c>
      <c r="F84" s="12">
        <f>F81/F35</f>
        <v>3.2796610169491527</v>
      </c>
      <c r="G84" s="12">
        <f>G81/G35</f>
        <v>4.8097222222222218</v>
      </c>
    </row>
    <row r="85" spans="1:7" s="58" customFormat="1" ht="30" hidden="1" customHeight="1">
      <c r="A85" s="13" t="s">
        <v>37</v>
      </c>
      <c r="B85" s="14">
        <f>B84/B83</f>
        <v>3.4924089748757221</v>
      </c>
      <c r="C85" s="14">
        <f>C84/C83</f>
        <v>2.7947709096720841</v>
      </c>
      <c r="E85" s="13" t="s">
        <v>37</v>
      </c>
      <c r="F85" s="14">
        <f>F84/F83</f>
        <v>3.7595146844834302</v>
      </c>
      <c r="G85" s="14">
        <f>G84/G83</f>
        <v>2.9435872605982354</v>
      </c>
    </row>
    <row r="87" spans="1:7">
      <c r="G87" s="58"/>
    </row>
    <row r="88" spans="1:7">
      <c r="G88" s="58"/>
    </row>
    <row r="89" spans="1:7">
      <c r="G89" s="58"/>
    </row>
    <row r="90" spans="1:7">
      <c r="G90" s="58"/>
    </row>
    <row r="91" spans="1:7">
      <c r="G91" s="58"/>
    </row>
    <row r="92" spans="1:7">
      <c r="G92" s="58"/>
    </row>
    <row r="93" spans="1:7">
      <c r="G93" s="58"/>
    </row>
    <row r="94" spans="1:7">
      <c r="G94" s="58"/>
    </row>
  </sheetData>
  <mergeCells count="53">
    <mergeCell ref="A77:G77"/>
    <mergeCell ref="A76:G76"/>
    <mergeCell ref="E3:G3"/>
    <mergeCell ref="F49:F50"/>
    <mergeCell ref="G49:G50"/>
    <mergeCell ref="E47:E48"/>
    <mergeCell ref="E49:E50"/>
    <mergeCell ref="E45:G45"/>
    <mergeCell ref="E4:G4"/>
    <mergeCell ref="F47:F48"/>
    <mergeCell ref="G47:G48"/>
    <mergeCell ref="A71:G71"/>
    <mergeCell ref="A72:G72"/>
    <mergeCell ref="A73:G73"/>
    <mergeCell ref="A74:G74"/>
    <mergeCell ref="A75:G75"/>
    <mergeCell ref="A47:B47"/>
    <mergeCell ref="A48:B48"/>
    <mergeCell ref="A50:B50"/>
    <mergeCell ref="A69:B69"/>
    <mergeCell ref="A51:B51"/>
    <mergeCell ref="A59:C59"/>
    <mergeCell ref="A60:B60"/>
    <mergeCell ref="A61:B61"/>
    <mergeCell ref="A62:B62"/>
    <mergeCell ref="A63:B63"/>
    <mergeCell ref="A64:B64"/>
    <mergeCell ref="A65:B65"/>
    <mergeCell ref="A66:B66"/>
    <mergeCell ref="A67:B67"/>
    <mergeCell ref="A68:B68"/>
    <mergeCell ref="A49:B49"/>
    <mergeCell ref="A45:C45"/>
    <mergeCell ref="A46:B46"/>
    <mergeCell ref="E5:G10"/>
    <mergeCell ref="E20:E21"/>
    <mergeCell ref="F20:F21"/>
    <mergeCell ref="G20:G21"/>
    <mergeCell ref="E25:E26"/>
    <mergeCell ref="F25:F26"/>
    <mergeCell ref="G25:G26"/>
    <mergeCell ref="E31:E34"/>
    <mergeCell ref="F31:F34"/>
    <mergeCell ref="G31:G34"/>
    <mergeCell ref="A1:G1"/>
    <mergeCell ref="E39:E41"/>
    <mergeCell ref="F37:F38"/>
    <mergeCell ref="G37:G38"/>
    <mergeCell ref="F39:F41"/>
    <mergeCell ref="G39:G41"/>
    <mergeCell ref="E37:E38"/>
    <mergeCell ref="A3:C3"/>
    <mergeCell ref="A4:C4"/>
  </mergeCells>
  <printOptions horizontalCentered="1"/>
  <pageMargins left="0.2" right="0.2" top="0.5" bottom="0.75" header="0.3" footer="0.3"/>
  <pageSetup scale="68" fitToHeight="2" orientation="landscape" horizontalDpi="0" verticalDpi="0"/>
  <headerFooter>
    <oddFooter>&amp;R&amp;"Times New Roman,Regular"&amp;K000000&amp;F, &amp;A</oddFooter>
  </headerFooter>
  <rowBreaks count="1" manualBreakCount="1">
    <brk id="44"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2.7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2.7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Context</vt:lpstr>
      <vt:lpstr>Calculators</vt:lpstr>
      <vt:lpstr>Sheet2</vt:lpstr>
      <vt:lpstr>Sheet3</vt:lpstr>
      <vt:lpstr>Sheet4</vt:lpstr>
      <vt:lpstr>Calculators!Print_Area</vt:lpstr>
      <vt:lpstr>Context!Print_Area</vt:lpstr>
      <vt:lpstr>Calculators!Print_Titles</vt:lpstr>
      <vt:lpstr>Context!Print_Titles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Muessig, Philipp</cp:lastModifiedBy>
  <cp:lastPrinted>2019-08-19T16:53:53Z</cp:lastPrinted>
  <dcterms:created xsi:type="dcterms:W3CDTF">2019-08-10T21:44:28Z</dcterms:created>
  <dcterms:modified xsi:type="dcterms:W3CDTF">2020-01-15T23:52:38Z</dcterms:modified>
</cp:coreProperties>
</file>